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 activeTab="4"/>
  </bookViews>
  <sheets>
    <sheet name="CAPEX Econ Anal" sheetId="1" r:id="rId1"/>
    <sheet name="OPEX Econ Anal" sheetId="4" r:id="rId2"/>
    <sheet name="Notes" sheetId="3" r:id="rId3"/>
    <sheet name="References" sheetId="2" r:id="rId4"/>
    <sheet name="EXPORT TO PPT" sheetId="5" r:id="rId5"/>
  </sheets>
  <calcPr calcId="125725"/>
</workbook>
</file>

<file path=xl/calcChain.xml><?xml version="1.0" encoding="utf-8"?>
<calcChain xmlns="http://schemas.openxmlformats.org/spreadsheetml/2006/main">
  <c r="AA27" i="5"/>
  <c r="AA19"/>
  <c r="AA17"/>
  <c r="AA8"/>
  <c r="AA10" s="1"/>
  <c r="T18"/>
  <c r="T9"/>
  <c r="T8"/>
  <c r="T7"/>
  <c r="T6"/>
  <c r="T5"/>
  <c r="I17"/>
  <c r="I16"/>
  <c r="I15"/>
  <c r="I14"/>
  <c r="I13"/>
  <c r="I12"/>
  <c r="I11"/>
  <c r="I10"/>
  <c r="I9"/>
  <c r="I8"/>
  <c r="I7"/>
  <c r="I6"/>
  <c r="I5"/>
  <c r="M49" i="1"/>
  <c r="M48"/>
  <c r="M47"/>
  <c r="F30" i="4"/>
  <c r="I33"/>
  <c r="I37" s="1"/>
  <c r="S27"/>
  <c r="Q14"/>
  <c r="Q16" s="1"/>
  <c r="L41" s="1"/>
  <c r="E24" i="3"/>
  <c r="F41" i="4"/>
  <c r="F28"/>
  <c r="F18"/>
  <c r="F20" s="1"/>
  <c r="Q15" s="1"/>
  <c r="M43" i="1"/>
  <c r="M42"/>
  <c r="M41"/>
  <c r="M39"/>
  <c r="M31"/>
  <c r="M32"/>
  <c r="M30"/>
  <c r="M29"/>
  <c r="M28"/>
  <c r="M27"/>
  <c r="J24"/>
  <c r="J23"/>
  <c r="J22"/>
  <c r="J21"/>
  <c r="J20"/>
  <c r="J19"/>
  <c r="J18"/>
  <c r="J17"/>
  <c r="J16"/>
  <c r="J15"/>
  <c r="J14"/>
  <c r="J13"/>
  <c r="J12"/>
  <c r="J53" i="3"/>
  <c r="J55"/>
  <c r="J54"/>
  <c r="J52"/>
  <c r="J51"/>
  <c r="J50"/>
  <c r="J49"/>
  <c r="J48"/>
  <c r="J47"/>
  <c r="J46"/>
  <c r="J45"/>
  <c r="J44"/>
  <c r="J56" s="1"/>
  <c r="AA20" i="5" l="1"/>
  <c r="T10"/>
  <c r="Q35" i="4"/>
  <c r="Q34"/>
  <c r="F31"/>
  <c r="Q17"/>
  <c r="L43"/>
  <c r="Q44" l="1"/>
  <c r="Q45"/>
</calcChain>
</file>

<file path=xl/comments1.xml><?xml version="1.0" encoding="utf-8"?>
<comments xmlns="http://schemas.openxmlformats.org/spreadsheetml/2006/main">
  <authors>
    <author>Bill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Bill:</t>
        </r>
        <r>
          <rPr>
            <sz val="9"/>
            <color indexed="81"/>
            <rFont val="Tahoma"/>
            <family val="2"/>
          </rPr>
          <t xml:space="preserve">
iLint
The Coradia iLint is a version of the Coradia Lint 54 powered by a hydrogen fuel cell.[7] Announced at InnoTrans 2016, the new model will be the world's first production hydrogen-powered trainset. The Coradia iLint is able to reach 140 kilometres per hour (87 mph) and travel 600–800 kilometres (370–500 mi) on a full tank of hydrogen. It is assembled at Alstom's Salzgitter plant.[7] It began rolling tests at 80km/h in March 2017.[8] In September 2018, the first Coradia iLint entered service on the Buxtehude-Bremervörde-Bremerhaven-Cuxhaven line in Lower Saxony, Germany.[9] A mobile hydrogen filling station refuels these trains, however, a stationary station is set to be built by 2021[10] along with 14 more of these trains.[11]
Source:  https://en.wikipedia.org/wiki/Alstom_Coradia_LINT</t>
        </r>
      </text>
    </comment>
  </commentList>
</comments>
</file>

<file path=xl/sharedStrings.xml><?xml version="1.0" encoding="utf-8"?>
<sst xmlns="http://schemas.openxmlformats.org/spreadsheetml/2006/main" count="528" uniqueCount="244">
  <si>
    <t>Bill Leighty</t>
  </si>
  <si>
    <t>wleighty@earthlink.net</t>
  </si>
  <si>
    <t>907-586-1426</t>
  </si>
  <si>
    <t>206-719-5554   mobile</t>
  </si>
  <si>
    <t>Made:</t>
  </si>
  <si>
    <t>REV:</t>
  </si>
  <si>
    <t>Assume:</t>
  </si>
  <si>
    <t>NOTES</t>
  </si>
  <si>
    <t>Juneau Fixed Guideway Transit System (FGS) for increasing cruise ship visitor Carrying Capacity (CC), reducing CO2 emission and cost of living (COL)</t>
  </si>
  <si>
    <t>In most places; perhaps in all places</t>
  </si>
  <si>
    <t>Miles</t>
  </si>
  <si>
    <t>"Jacobson Dock" to Mendenhall Glacier Visitor Center (MGVC) via JNU airport: via Egan Drive median</t>
  </si>
  <si>
    <t>"Jacobson Dock" to Mendenhall Glacier Visitor Center (MGVC) via JNU airport: via Old Glacier Highway</t>
  </si>
  <si>
    <t>Add connection to Auke bay via Glacier Highway</t>
  </si>
  <si>
    <t>Add connection to Auke bay via Back Loop Road</t>
  </si>
  <si>
    <t>Total FGS ROW: combo of A, B, C, D</t>
  </si>
  <si>
    <t>14 to 18</t>
  </si>
  <si>
    <t xml:space="preserve">Choose A or B, or combinations of A or B plus C or D </t>
  </si>
  <si>
    <t>System operates on hydroelectric energy</t>
  </si>
  <si>
    <t>Via overhead catenary wire or via hydrogen-fueled, fuel cell electric drive ("Alstom Train":  see References)</t>
  </si>
  <si>
    <t>ECONOMIC ANALYSIS</t>
  </si>
  <si>
    <t>Trains operate on hydrogen fuel, from hydropower</t>
  </si>
  <si>
    <t>Choose "Alstom Train" drive system, to eliminate overhead wires</t>
  </si>
  <si>
    <t>System always available to public, in special cars</t>
  </si>
  <si>
    <t>No ROW need be purchased</t>
  </si>
  <si>
    <t>System operates year-round with reduced rolling stock</t>
  </si>
  <si>
    <t>No grade-separated intersections</t>
  </si>
  <si>
    <t>Track installed in streets and roads</t>
  </si>
  <si>
    <t>None needed if FGS always has priority:  crossing signals and gates may be required in a few places</t>
  </si>
  <si>
    <t>FGS always has priority; shares ROW with other traffic</t>
  </si>
  <si>
    <t>Outside Summer: Spare rolling stock may be shipped south for 7-8 months service elsewhere</t>
  </si>
  <si>
    <t>School children will ride FGS above __ years ago</t>
  </si>
  <si>
    <t>REFERENCES</t>
  </si>
  <si>
    <t>"Alstom Train" hydrogen-fueled, fuel cell electric drive; add cars to any train for higher capacity</t>
  </si>
  <si>
    <t>https://www.youtube.com/watch?v=0vgxrsn_bY4</t>
  </si>
  <si>
    <t>https://www.railjournal.com/fleet/alstom-hydrogen-train-french-regions/</t>
  </si>
  <si>
    <t>https://www.alstom.com/press-releases-news/2018/9/world-premiere-alstoms-hydrogen-trains-enter-passenger-service-lower</t>
  </si>
  <si>
    <t>https://www.youtube.com/watch?v=53epaI-rDoo</t>
  </si>
  <si>
    <t>https://www.youtube.com/watch?v=O3bUE9uHkqM</t>
  </si>
  <si>
    <t>video</t>
  </si>
  <si>
    <t>Assumptions:  See NOTES</t>
  </si>
  <si>
    <t>See:  References</t>
  </si>
  <si>
    <t>Definitions:</t>
  </si>
  <si>
    <t>CC:   Carrying Capacity, annual total cruise ship passengers which Juneau, or other destination, can accommodate  without</t>
  </si>
  <si>
    <t>Juneau's CC in 2016</t>
  </si>
  <si>
    <t>Juneau's CC in 2017</t>
  </si>
  <si>
    <t xml:space="preserve">FGS:  Fixed guideway transportation system; in Juneau's case, a rail-based system like light rail, streetcar, a hybrid of these, </t>
  </si>
  <si>
    <t>or Alstom hydrogen-fueled fuel cell train -- all running on hydroelectric energy</t>
  </si>
  <si>
    <t>Capex:  Capital expenditure, required to acquire and place in service a capital asset</t>
  </si>
  <si>
    <t>Opex:  Operating expense, typically recurring at daily to annual time scale: labor, energy, maintenance, depreciation</t>
  </si>
  <si>
    <t xml:space="preserve"> significantly diminishing the quality of the visitor experience nor the quality of life in the community;</t>
  </si>
  <si>
    <t>a concept without formal definition nor addressed in CBJ ordinances</t>
  </si>
  <si>
    <t>Range:  500 miles per hydrogen fuel fill</t>
  </si>
  <si>
    <t>Seating capacity, approximate, in "tour bus" seating configuration, per car of two-car train:</t>
  </si>
  <si>
    <t>Unknown; estimated 50 - 60</t>
  </si>
  <si>
    <t>Fuel consumption, miles per kg hydrogen fuel, for two-car train</t>
  </si>
  <si>
    <t>Alstom train may be expanded in capacity by adding cars; perhaps self-propelled, perhaps not</t>
  </si>
  <si>
    <t>Juneau's CC in 2018</t>
  </si>
  <si>
    <t>Juneau's CC in 2019</t>
  </si>
  <si>
    <t>Actual cruise ship annual total pax</t>
  </si>
  <si>
    <t>Assumptions below are rough estimates, based on bus-based ground transportation; for discussion only</t>
  </si>
  <si>
    <t>??</t>
  </si>
  <si>
    <t>CC assumptions below are rough estimates, based on bus-based ground transportation; for discussion only</t>
  </si>
  <si>
    <t>Base FGS system right of way (ROW) - A</t>
  </si>
  <si>
    <t>Base FGS system right of way (ROW) - B</t>
  </si>
  <si>
    <t>Optional added FGS ROW - C</t>
  </si>
  <si>
    <t>Optional added FGS ROW - D</t>
  </si>
  <si>
    <t xml:space="preserve">FGS is double track </t>
  </si>
  <si>
    <t>All ROW in public domain</t>
  </si>
  <si>
    <t>CAPEX</t>
  </si>
  <si>
    <t>Rolling stock:</t>
  </si>
  <si>
    <t xml:space="preserve">cars @ </t>
  </si>
  <si>
    <t>$ million each =</t>
  </si>
  <si>
    <t>$ million</t>
  </si>
  <si>
    <t>Track, double:</t>
  </si>
  <si>
    <t>miles @</t>
  </si>
  <si>
    <t>Stations, ordinary:</t>
  </si>
  <si>
    <t>stations @</t>
  </si>
  <si>
    <t>Station, Mode change:</t>
  </si>
  <si>
    <t>Maintenance barn:</t>
  </si>
  <si>
    <t>Hydrogen-fueled, fuel cell, "Alstom train"</t>
  </si>
  <si>
    <t>Hydrogen fueling station:</t>
  </si>
  <si>
    <t>Controls + crossing signals:</t>
  </si>
  <si>
    <t>Personnel training: ops, maintenance</t>
  </si>
  <si>
    <t>Design, planning, consulting</t>
  </si>
  <si>
    <t>ROW purchase</t>
  </si>
  <si>
    <t>Grade-separated intersections</t>
  </si>
  <si>
    <t>Contingency</t>
  </si>
  <si>
    <t>Total Capex, gross, FGS</t>
  </si>
  <si>
    <t>Electrolysis, from hydro energy, via utility substation</t>
  </si>
  <si>
    <t>Hydrogen-fueled, fuel cell, "Alstom train", 50 - 60 pax each</t>
  </si>
  <si>
    <t xml:space="preserve">Goal:  Increase Juneau community CC to </t>
  </si>
  <si>
    <t>BEV:  Battery electric vehicle; bus or other vehicle replacement of the old diesel buses now the backbone of visitor transportation</t>
  </si>
  <si>
    <t>FCV:  Fuel cell vehicle; bus or other vehicle replacement of the old diesel buses now the backbone of visitor transportation</t>
  </si>
  <si>
    <t>New parking structures not needed</t>
  </si>
  <si>
    <t>garages @</t>
  </si>
  <si>
    <t xml:space="preserve">buses @ </t>
  </si>
  <si>
    <t>Downtown, "Shoreline District"</t>
  </si>
  <si>
    <t>Parking lots surplused; land recovered to develop</t>
  </si>
  <si>
    <t>acres @</t>
  </si>
  <si>
    <t xml:space="preserve">Highways projects not needed; fed funding repurposed </t>
  </si>
  <si>
    <t>years @</t>
  </si>
  <si>
    <t>NPV of 5 years' projects; redirect to FGS</t>
  </si>
  <si>
    <t>Total capex deductions and savings, gross, consequent of FGS</t>
  </si>
  <si>
    <t>Deploy surplus FGS rolling stock "Outside" for 7 months</t>
  </si>
  <si>
    <t>20 railcars barged south and back, annually</t>
  </si>
  <si>
    <t>Deploy surplus FGS rolling stock "Outside" for 7 months: value offsets some capex amount</t>
  </si>
  <si>
    <t>USFS USDA grant for MGVC improvement, CC increase</t>
  </si>
  <si>
    <t>Private investment, misc:  airlines, shore excursions</t>
  </si>
  <si>
    <t>Other</t>
  </si>
  <si>
    <t>Total capex reductions</t>
  </si>
  <si>
    <t>With ground transport entirely based on bus and other highway vehicles</t>
  </si>
  <si>
    <t>Juneau's CC in 2021-2022</t>
  </si>
  <si>
    <t>With ground transport based to greatest extent useful on FGS</t>
  </si>
  <si>
    <t>Potential ship annual total pax</t>
  </si>
  <si>
    <t>tbd</t>
  </si>
  <si>
    <t xml:space="preserve">Cars may be branded, badged, liveried, depending on business plans; </t>
  </si>
  <si>
    <t xml:space="preserve"> may be used by all visitors and residents on every train, at every FGS station along route</t>
  </si>
  <si>
    <t>USDOT grant, FTA (Fed Transit Admin); theoretical; very uncertain</t>
  </si>
  <si>
    <t>NET CAPEX DEFICIENCY</t>
  </si>
  <si>
    <t>FGS electric energy</t>
  </si>
  <si>
    <t>FGS maintenance</t>
  </si>
  <si>
    <t xml:space="preserve">FGS other </t>
  </si>
  <si>
    <t>FGS subtotal</t>
  </si>
  <si>
    <t>$  million</t>
  </si>
  <si>
    <t>Cruise ship car host, hostess labor</t>
  </si>
  <si>
    <t>OPEX, SUMMER 4 MONTHS, CRUISE SHIP INDUSTRY ALLOCATION</t>
  </si>
  <si>
    <t>Total cruise ship industry allocation</t>
  </si>
  <si>
    <t>OPEX, SUMMER 4 MONTHS, CBJ ALLOCATION "CAPITAL TRANSIT"</t>
  </si>
  <si>
    <t>OPEX, OTHER 8 MONTHS, CBJ ALLOCATION "CAPITAL TRANSIT"</t>
  </si>
  <si>
    <t>Juneau's CC increase, FGS</t>
  </si>
  <si>
    <t>million</t>
  </si>
  <si>
    <t>Potential CC increase</t>
  </si>
  <si>
    <t>million pax</t>
  </si>
  <si>
    <t xml:space="preserve">million pax CC increase @ </t>
  </si>
  <si>
    <t>margin per pax =</t>
  </si>
  <si>
    <t>million per year, gross margin, industry aggregate</t>
  </si>
  <si>
    <t>Note:  average 40 buses / day @ 30 miles / day x 100 days per summer = 120,000 miles per summer;</t>
  </si>
  <si>
    <t>short tons CO2 not emitted from burning diesel in "hiway" MCI buses; diesel buses replaced by FGS</t>
  </si>
  <si>
    <t>Estimated Capital Transit Opex savings: fewer buses, fewer drivers</t>
  </si>
  <si>
    <t xml:space="preserve">Estimated savings in school bus transportation </t>
  </si>
  <si>
    <t>FGS may carry some packages, freight, mail on special cars, perhaps at limited hours</t>
  </si>
  <si>
    <t xml:space="preserve">How are small, independent, transport, tour, shorex companies affected ? </t>
  </si>
  <si>
    <t>How are independent travelers affected ?  JNU ?  AMHS ferry terminal ?</t>
  </si>
  <si>
    <t>Fuel consumption, miles per kg hydrogen fuel, for four-car train</t>
  </si>
  <si>
    <t>JUNEAU PUBLIC BENEFITS, PER 12 MONTHS</t>
  </si>
  <si>
    <t>fewer LDV's @</t>
  </si>
  <si>
    <t xml:space="preserve">total annual cost of ownership = </t>
  </si>
  <si>
    <t>Estimated savings in snow removal</t>
  </si>
  <si>
    <t>Need tour bus style seating on the FGS cars.  Problem ?  2 + 2 seating ?</t>
  </si>
  <si>
    <t>Who owns FGS system ?  Liable for costs, hazards, injuries, etc.</t>
  </si>
  <si>
    <t>What are branding, livery, exclusivity requirements of cruise ships and other users ?</t>
  </si>
  <si>
    <t>Major airlines (AS, DL) increase CC at JNU (?)  Increase margins ?</t>
  </si>
  <si>
    <t>FGS sets stage for accommodating 2x - 3x Juneau population, higher density is naturally attracted to FGS stations</t>
  </si>
  <si>
    <t>FGS stations must be indoors, heated, spacious, clean;  restrooms ?</t>
  </si>
  <si>
    <t xml:space="preserve">Total annual Juneau benefits </t>
  </si>
  <si>
    <t>Estimated savings in after-tax expense, privately owned light duty vehicles (LDV's): fewer families need 2 or 3 "cars"</t>
  </si>
  <si>
    <t>Juneau population =</t>
  </si>
  <si>
    <t>Average cash saving per person, after tax, per year</t>
  </si>
  <si>
    <t>Vacant garages converted to rental housing (small, inexpensive units), improving shortage of "affordable" housing</t>
  </si>
  <si>
    <t>Health care costs reduction, because people walk more, are healthier; health insurance premiums may be lower</t>
  </si>
  <si>
    <t xml:space="preserve">By the time Juneau's FGS is built, FCV train technology will have improved; rolling stock cost will be lower; </t>
  </si>
  <si>
    <t>hydrogen fueling electrolysis plants will be more efficient and reliable, lower in cost</t>
  </si>
  <si>
    <t>TOTAL ANNUAL PUBLIC AND PRIVATE BENEFITS</t>
  </si>
  <si>
    <t>Juneau, private and CBJ</t>
  </si>
  <si>
    <t>Total</t>
  </si>
  <si>
    <t>DRAFT</t>
  </si>
  <si>
    <t>Juneau light duty vehicle (car, van, SUV, pickup truck) registered vehicles number =</t>
  </si>
  <si>
    <t xml:space="preserve">Friends:  please make this template you own; rename the file to begin your modeling "case" development </t>
  </si>
  <si>
    <t>NET CAPEX REQUIRED FOR COMPLETE FGS:  beyond that required for replacing all buses with BEV and / or FCV</t>
  </si>
  <si>
    <t>All components and numbers are Bill Leighty's ad hoc rough estimates; this template need professional help to achieve credibility</t>
  </si>
  <si>
    <t>" Tragedy Of The Commons " (Garrett Hardin) discussion:</t>
  </si>
  <si>
    <t>Please see video discussing "The Commons" metaphor used by Garrett Hardin in the attached article, from:</t>
  </si>
  <si>
    <t>"Prairie Festival", The Land Institute, Salina, KS,    Scroll to 39:00 min to start;   1:19:00 to end = 40 min.   Final few seconds are marred by a video editing error.        https://www.youtube.com/watch?v=9LwHeV0cJU8</t>
  </si>
  <si>
    <t>Consider Bollier's insights apply to Juneau's deliberations on cruise ship "Carrying Capacity" (CC), on large-scale tourism, and on Alaska's economy and lifestyle.</t>
  </si>
  <si>
    <t>https://centerforneweconomics.org/</t>
  </si>
  <si>
    <t>https://landinstitute.org/              https://landinstitute.org/news-events/prairie-festival/</t>
  </si>
  <si>
    <t>He pursues this work as Director of the Reinventing the Commons Program at the Schumacher Center for a New Economics and as co-founder of the Commons Strategies Group, an international advocacy project.</t>
  </si>
  <si>
    <t xml:space="preserve">David Bollier, activist, scholar, and blogger who is focused on the commons as a new paradigm for re-imagining economics, politics, and culture. </t>
  </si>
  <si>
    <t>Bollier has co-organized pioneering international conferences and strategy workshops on the commons, and consults regularly with diverse activists and policy experts in the US and Europe.</t>
  </si>
  <si>
    <t xml:space="preserve"> His blog, Bollier.org, is a widely read source of news about the commons, and his book Think Like a Commoner: A Short Introduction to the Life of the Commons  (2014), has been translated into six languages. </t>
  </si>
  <si>
    <t xml:space="preserve">He and coauthor Silke Helfrich will publish Free, Fair and Alive: The Insurgent Power of the Commons in spring 2019. </t>
  </si>
  <si>
    <t xml:space="preserve">Bolliers other books include Patterns of Commoning (2015) and The Wealth of the Commons (2012), both with co-editor Silke Helfrich; Green Governance (2013), co-authored with the late Professor Burns Weston; </t>
  </si>
  <si>
    <t>and Viral Spiral (2009), Brand-Name Bullies (2005), and Silent Theft (2002). In 2012, Bollier received the Bosch Berlin Prize in Public Policy from the American Academy in Berlin for his work on the commons.</t>
  </si>
  <si>
    <t>Less % "head tax" from CBJ</t>
  </si>
  <si>
    <t>per cent</t>
  </si>
  <si>
    <t>(Assume X million @ $ 8)</t>
  </si>
  <si>
    <t>Net opex, CBJ share, summer 4 months</t>
  </si>
  <si>
    <t>2 + 2 , center aisle ?</t>
  </si>
  <si>
    <t>CAPEX DEDUCTIONS AND SAVINGS: private and public</t>
  </si>
  <si>
    <t>CAPEX REDUCTIONS: private and public</t>
  </si>
  <si>
    <t>New BEV or FCV buses; perhaps $ 0.6 - 0.7 million each in 5 years; quantity buy</t>
  </si>
  <si>
    <t>FCV and / or BEV "hiway" tour buses NOT bought</t>
  </si>
  <si>
    <t>Diesel "MCI" 50-60 pax "hiway" tour buses NOT replaced</t>
  </si>
  <si>
    <t>Cruise ship industry share, residual, balance</t>
  </si>
  <si>
    <t xml:space="preserve">Total cruise ship industry cash capex, from above </t>
  </si>
  <si>
    <t>Total capex, cruise ship industry</t>
  </si>
  <si>
    <t>Less opex, cruise ship share</t>
  </si>
  <si>
    <t>OPEX BENEFITS, SUMMER 4 MONTHS, CRUISE SHIP INDUSTRY:  incremental margin increase</t>
  </si>
  <si>
    <t>Net total annual incremental margin increase</t>
  </si>
  <si>
    <t>Simple annual ROI on total cruise ship industry capex</t>
  </si>
  <si>
    <t xml:space="preserve"> per cent</t>
  </si>
  <si>
    <t>@ 5 mpg, = 24,000 gal diesel / summer @ 20 lbs CO2 / gallon = 480,000 lbs CO2 = 240 short tons CO2 / year</t>
  </si>
  <si>
    <t>Simple annual ROI on total FGS capex, before adjustments</t>
  </si>
  <si>
    <t>Simple annual ROI on adjusted total FGS capex</t>
  </si>
  <si>
    <t>Cruise ship industry, net</t>
  </si>
  <si>
    <t xml:space="preserve">Intangible values not reckoned:  </t>
  </si>
  <si>
    <t>Juneau reputation as a visitor destination</t>
  </si>
  <si>
    <t>Juneau residents' QOL</t>
  </si>
  <si>
    <t>CO2 emission costs; not internalized</t>
  </si>
  <si>
    <t>File:  CarryingCapacity-Juneau-FGS-EconAnal-5Feb19.xlsx</t>
  </si>
  <si>
    <t>EXPORT TO PPT</t>
  </si>
  <si>
    <t>Each</t>
  </si>
  <si>
    <t>cars</t>
  </si>
  <si>
    <t>miles</t>
  </si>
  <si>
    <t>stations</t>
  </si>
  <si>
    <t>(CAPEX)</t>
  </si>
  <si>
    <t>FGS Capital Expense</t>
  </si>
  <si>
    <t>buses</t>
  </si>
  <si>
    <t>garages</t>
  </si>
  <si>
    <t>acres</t>
  </si>
  <si>
    <t>years</t>
  </si>
  <si>
    <t xml:space="preserve">Highways projects not needed; fed funds repurposed </t>
  </si>
  <si>
    <t>Deploy surplus FGS rolling stock "Outside"  7 months</t>
  </si>
  <si>
    <t>FGS Capital Expense (CAPEX)</t>
  </si>
  <si>
    <t>DEDUCTIONS AND SAVINGS: private and public</t>
  </si>
  <si>
    <t>NET CAPEX REQUIRED FOR FGS:  beyond replace all buses: BEV or FCV</t>
  </si>
  <si>
    <t>FGS labor:  drivers (operators)</t>
  </si>
  <si>
    <t>FGS Operating Expense (OPEX)  $ millions</t>
  </si>
  <si>
    <t>SUMMER 4 MONTHS, CRUISE SHIP INDUSTRY ALLOCATION</t>
  </si>
  <si>
    <t>CBJ share, net of "head tax" summer 4 months</t>
  </si>
  <si>
    <t>SUMMER 4 MONTHS, CBJ ALLOCATION "CAPITAL TRANSIT"</t>
  </si>
  <si>
    <t>OTHER 8 MONTHS, CBJ ALLOCATION "CAPITAL TRANSIT"</t>
  </si>
  <si>
    <t>FGS OPEX BENEFITS, SUMMER 4 MONTHS, CRUISE SHIP INDUSTRY:  incremental margin increase</t>
  </si>
  <si>
    <t>FGS JUNEAU PUBLIC BENEFITS, PER 12 MONTHS</t>
  </si>
  <si>
    <t>FGS TOTAL ANNUAL PUBLIC AND PRIVATE BENEFITS</t>
  </si>
  <si>
    <t>Estimated Capital Transit Opex savings: fewer vehicles (bus, railcar), fewer drivers</t>
  </si>
  <si>
    <t xml:space="preserve">total annual cost = </t>
  </si>
  <si>
    <t>Health care costs reduction; walk more; healthier; health insur premiums lower</t>
  </si>
  <si>
    <t>Vacant garages converted to rental housing (small, inexpensive units): "affordable"</t>
  </si>
  <si>
    <t>Total gross margin</t>
  </si>
  <si>
    <t>@ 5 mpg, = 24,000 gal diesel / summer @ 20 lbs CO2 / gallon = 480,000 lbs CO2 = 240 short tons CO2/yr</t>
  </si>
  <si>
    <t>Estimated savings, after-tax expense; need fewer private-owned light duty vehicle (LDV's)</t>
  </si>
  <si>
    <t xml:space="preserve">million pax/yr CC increase @ 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</si>
</sst>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2" fillId="0" borderId="0" xfId="0" applyFont="1"/>
    <xf numFmtId="15" fontId="0" fillId="0" borderId="0" xfId="0" applyNumberForma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164" fontId="0" fillId="0" borderId="0" xfId="0" applyNumberFormat="1"/>
    <xf numFmtId="0" fontId="1" fillId="2" borderId="0" xfId="0" applyFont="1" applyFill="1"/>
    <xf numFmtId="0" fontId="1" fillId="3" borderId="0" xfId="0" applyFont="1" applyFill="1"/>
    <xf numFmtId="164" fontId="1" fillId="3" borderId="0" xfId="0" applyNumberFormat="1" applyFont="1" applyFill="1" applyAlignment="1">
      <alignment horizontal="right" indent="1"/>
    </xf>
    <xf numFmtId="164" fontId="0" fillId="0" borderId="0" xfId="0" applyNumberFormat="1" applyAlignment="1">
      <alignment horizontal="right" indent="1"/>
    </xf>
    <xf numFmtId="0" fontId="1" fillId="2" borderId="0" xfId="0" applyFont="1" applyFill="1" applyAlignment="1">
      <alignment horizontal="right" indent="1"/>
    </xf>
    <xf numFmtId="164" fontId="1" fillId="4" borderId="0" xfId="0" applyNumberFormat="1" applyFont="1" applyFill="1" applyAlignment="1">
      <alignment horizontal="right" indent="1"/>
    </xf>
    <xf numFmtId="0" fontId="1" fillId="4" borderId="0" xfId="0" applyFont="1" applyFill="1"/>
    <xf numFmtId="0" fontId="1" fillId="5" borderId="0" xfId="0" applyFont="1" applyFill="1"/>
    <xf numFmtId="164" fontId="1" fillId="5" borderId="0" xfId="0" applyNumberFormat="1" applyFont="1" applyFill="1" applyAlignment="1">
      <alignment horizontal="right" indent="1"/>
    </xf>
    <xf numFmtId="164" fontId="1" fillId="6" borderId="0" xfId="0" applyNumberFormat="1" applyFont="1" applyFill="1" applyAlignment="1">
      <alignment horizontal="right" indent="1"/>
    </xf>
    <xf numFmtId="0" fontId="1" fillId="6" borderId="0" xfId="0" applyFont="1" applyFill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164" fontId="0" fillId="0" borderId="0" xfId="0" applyNumberFormat="1" applyAlignment="1"/>
    <xf numFmtId="0" fontId="0" fillId="0" borderId="0" xfId="0" quotePrefix="1"/>
    <xf numFmtId="3" fontId="0" fillId="0" borderId="0" xfId="0" applyNumberFormat="1"/>
    <xf numFmtId="3" fontId="0" fillId="0" borderId="0" xfId="0" applyNumberFormat="1" applyAlignment="1">
      <alignment horizontal="left" indent="1"/>
    </xf>
    <xf numFmtId="0" fontId="1" fillId="4" borderId="0" xfId="0" applyFont="1" applyFill="1" applyAlignment="1">
      <alignment horizontal="right" indent="1"/>
    </xf>
    <xf numFmtId="0" fontId="1" fillId="4" borderId="0" xfId="0" applyFont="1" applyFill="1" applyAlignment="1">
      <alignment horizontal="left" indent="1"/>
    </xf>
    <xf numFmtId="164" fontId="1" fillId="4" borderId="0" xfId="0" applyNumberFormat="1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indent="1"/>
    </xf>
    <xf numFmtId="15" fontId="8" fillId="0" borderId="0" xfId="0" applyNumberFormat="1" applyFont="1"/>
    <xf numFmtId="0" fontId="10" fillId="0" borderId="0" xfId="1" applyAlignment="1" applyProtection="1"/>
    <xf numFmtId="0" fontId="2" fillId="0" borderId="0" xfId="0" applyFont="1" applyAlignment="1">
      <alignment horizontal="left" indent="1"/>
    </xf>
    <xf numFmtId="0" fontId="0" fillId="0" borderId="0" xfId="0" applyNumberFormat="1"/>
    <xf numFmtId="0" fontId="0" fillId="2" borderId="0" xfId="0" applyFill="1"/>
    <xf numFmtId="0" fontId="0" fillId="2" borderId="0" xfId="0" applyFill="1" applyAlignment="1">
      <alignment horizontal="right" indent="1"/>
    </xf>
    <xf numFmtId="0" fontId="9" fillId="0" borderId="0" xfId="0" applyFont="1"/>
    <xf numFmtId="0" fontId="9" fillId="0" borderId="0" xfId="0" applyFont="1" applyAlignment="1">
      <alignment horizontal="right" indent="1"/>
    </xf>
    <xf numFmtId="0" fontId="1" fillId="7" borderId="0" xfId="0" applyFont="1" applyFill="1"/>
    <xf numFmtId="0" fontId="11" fillId="8" borderId="0" xfId="0" applyFont="1" applyFill="1"/>
    <xf numFmtId="164" fontId="11" fillId="8" borderId="0" xfId="0" applyNumberFormat="1" applyFont="1" applyFill="1" applyAlignment="1">
      <alignment horizontal="right" indent="1"/>
    </xf>
    <xf numFmtId="0" fontId="0" fillId="2" borderId="0" xfId="0" applyFill="1" applyAlignment="1">
      <alignment horizontal="left" indent="1"/>
    </xf>
    <xf numFmtId="3" fontId="1" fillId="4" borderId="0" xfId="0" applyNumberFormat="1" applyFont="1" applyFill="1"/>
    <xf numFmtId="1" fontId="1" fillId="5" borderId="0" xfId="0" applyNumberFormat="1" applyFont="1" applyFill="1"/>
    <xf numFmtId="3" fontId="1" fillId="5" borderId="0" xfId="0" applyNumberFormat="1" applyFont="1" applyFill="1"/>
    <xf numFmtId="0" fontId="2" fillId="0" borderId="0" xfId="0" applyFont="1" applyAlignment="1">
      <alignment horizontal="right" indent="1"/>
    </xf>
    <xf numFmtId="0" fontId="12" fillId="0" borderId="0" xfId="0" applyFont="1"/>
    <xf numFmtId="0" fontId="3" fillId="0" borderId="0" xfId="0" applyFont="1" applyAlignment="1">
      <alignment horizontal="center"/>
    </xf>
    <xf numFmtId="0" fontId="1" fillId="3" borderId="1" xfId="0" applyFont="1" applyFill="1" applyBorder="1"/>
    <xf numFmtId="3" fontId="1" fillId="3" borderId="2" xfId="0" applyNumberFormat="1" applyFont="1" applyFill="1" applyBorder="1" applyAlignment="1">
      <alignment horizontal="right" indent="1"/>
    </xf>
    <xf numFmtId="0" fontId="1" fillId="9" borderId="1" xfId="0" applyFont="1" applyFill="1" applyBorder="1"/>
    <xf numFmtId="0" fontId="1" fillId="9" borderId="2" xfId="0" applyFont="1" applyFill="1" applyBorder="1" applyAlignment="1">
      <alignment horizontal="right" indent="1"/>
    </xf>
    <xf numFmtId="0" fontId="1" fillId="5" borderId="0" xfId="0" applyFont="1" applyFill="1" applyAlignment="1">
      <alignment horizontal="right" indent="1"/>
    </xf>
    <xf numFmtId="0" fontId="1" fillId="5" borderId="1" xfId="0" applyFont="1" applyFill="1" applyBorder="1"/>
    <xf numFmtId="0" fontId="1" fillId="5" borderId="2" xfId="0" applyFont="1" applyFill="1" applyBorder="1" applyAlignment="1">
      <alignment horizontal="right" indent="1"/>
    </xf>
    <xf numFmtId="164" fontId="1" fillId="10" borderId="0" xfId="0" applyNumberFormat="1" applyFont="1" applyFill="1" applyAlignment="1">
      <alignment horizontal="right" indent="1"/>
    </xf>
    <xf numFmtId="0" fontId="1" fillId="10" borderId="0" xfId="0" applyFont="1" applyFill="1"/>
    <xf numFmtId="164" fontId="1" fillId="11" borderId="0" xfId="0" applyNumberFormat="1" applyFont="1" applyFill="1" applyAlignment="1">
      <alignment horizontal="right" indent="1"/>
    </xf>
    <xf numFmtId="0" fontId="1" fillId="11" borderId="0" xfId="0" applyFont="1" applyFill="1"/>
    <xf numFmtId="164" fontId="1" fillId="7" borderId="1" xfId="0" applyNumberFormat="1" applyFont="1" applyFill="1" applyBorder="1" applyAlignment="1">
      <alignment horizontal="right" indent="1"/>
    </xf>
    <xf numFmtId="0" fontId="1" fillId="7" borderId="2" xfId="0" applyFont="1" applyFill="1" applyBorder="1"/>
    <xf numFmtId="0" fontId="0" fillId="0" borderId="0" xfId="0" applyFill="1" applyAlignment="1">
      <alignment horizontal="left" indent="1"/>
    </xf>
    <xf numFmtId="0" fontId="13" fillId="0" borderId="0" xfId="0" applyFont="1"/>
    <xf numFmtId="0" fontId="13" fillId="0" borderId="0" xfId="0" applyFont="1" applyAlignment="1">
      <alignment horizontal="right" indent="1"/>
    </xf>
    <xf numFmtId="0" fontId="0" fillId="4" borderId="0" xfId="0" applyFill="1"/>
    <xf numFmtId="0" fontId="0" fillId="4" borderId="0" xfId="0" applyFill="1" applyAlignment="1">
      <alignment horizontal="right" indent="1"/>
    </xf>
    <xf numFmtId="0" fontId="0" fillId="5" borderId="0" xfId="0" applyFill="1"/>
    <xf numFmtId="0" fontId="0" fillId="5" borderId="0" xfId="0" applyFill="1" applyAlignment="1">
      <alignment horizontal="right" indent="1"/>
    </xf>
    <xf numFmtId="1" fontId="0" fillId="0" borderId="0" xfId="0" applyNumberFormat="1"/>
    <xf numFmtId="1" fontId="1" fillId="5" borderId="2" xfId="0" applyNumberFormat="1" applyFont="1" applyFill="1" applyBorder="1" applyAlignment="1">
      <alignment horizontal="right" indent="1"/>
    </xf>
    <xf numFmtId="1" fontId="1" fillId="5" borderId="3" xfId="0" applyNumberFormat="1" applyFont="1" applyFill="1" applyBorder="1" applyAlignment="1">
      <alignment horizontal="right" indent="1"/>
    </xf>
    <xf numFmtId="1" fontId="1" fillId="5" borderId="5" xfId="0" applyNumberFormat="1" applyFont="1" applyFill="1" applyBorder="1" applyAlignment="1">
      <alignment horizontal="right" indent="1"/>
    </xf>
    <xf numFmtId="0" fontId="0" fillId="5" borderId="1" xfId="0" applyFont="1" applyFill="1" applyBorder="1"/>
    <xf numFmtId="0" fontId="0" fillId="5" borderId="4" xfId="0" applyFont="1" applyFill="1" applyBorder="1"/>
    <xf numFmtId="0" fontId="0" fillId="5" borderId="6" xfId="0" applyFont="1" applyFill="1" applyBorder="1"/>
    <xf numFmtId="0" fontId="0" fillId="5" borderId="4" xfId="0" applyFill="1" applyBorder="1"/>
    <xf numFmtId="0" fontId="0" fillId="5" borderId="6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s://centerforneweconomics.org/" TargetMode="External"/><Relationship Id="rId1" Type="http://schemas.openxmlformats.org/officeDocument/2006/relationships/hyperlink" Target="https://www.youtube.com/watch?v=9LwHeV0cJU8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50"/>
  <sheetViews>
    <sheetView topLeftCell="A13" workbookViewId="0">
      <selection activeCell="M41" sqref="M41:N43"/>
    </sheetView>
  </sheetViews>
  <sheetFormatPr defaultRowHeight="15"/>
  <cols>
    <col min="3" max="6" width="12.7109375" customWidth="1"/>
    <col min="9" max="9" width="13.7109375" customWidth="1"/>
    <col min="10" max="10" width="9.140625" style="6"/>
  </cols>
  <sheetData>
    <row r="1" spans="1:19" ht="15.75">
      <c r="A1" s="4" t="s">
        <v>8</v>
      </c>
      <c r="B1" s="4"/>
      <c r="C1" s="4"/>
      <c r="D1" s="4"/>
      <c r="E1" s="4"/>
      <c r="F1" s="4"/>
      <c r="G1" s="4"/>
      <c r="H1" s="4"/>
      <c r="I1" s="4"/>
      <c r="J1" s="5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4"/>
      <c r="B2" s="4"/>
      <c r="C2" s="4"/>
      <c r="D2" s="4"/>
      <c r="E2" s="4"/>
      <c r="F2" s="4"/>
      <c r="G2" s="4"/>
      <c r="H2" s="30" t="s">
        <v>166</v>
      </c>
      <c r="I2" s="1" t="s">
        <v>210</v>
      </c>
      <c r="J2" s="48"/>
      <c r="K2" s="1"/>
      <c r="L2" s="1"/>
      <c r="M2" s="1"/>
      <c r="N2" s="1"/>
      <c r="O2" s="1"/>
      <c r="P2" s="1"/>
      <c r="Q2" s="1"/>
      <c r="R2" s="1"/>
      <c r="S2" s="1"/>
    </row>
    <row r="3" spans="1:19">
      <c r="A3" t="s">
        <v>0</v>
      </c>
      <c r="C3" t="s">
        <v>1</v>
      </c>
      <c r="H3" t="s">
        <v>4</v>
      </c>
      <c r="I3" s="2">
        <v>43499</v>
      </c>
    </row>
    <row r="4" spans="1:19">
      <c r="C4" t="s">
        <v>2</v>
      </c>
      <c r="E4" t="s">
        <v>3</v>
      </c>
      <c r="H4" t="s">
        <v>5</v>
      </c>
      <c r="I4" s="2">
        <v>43501</v>
      </c>
    </row>
    <row r="5" spans="1:19">
      <c r="C5" s="31" t="s">
        <v>168</v>
      </c>
      <c r="D5" s="31"/>
      <c r="E5" s="31"/>
      <c r="F5" s="32"/>
      <c r="G5" s="31"/>
      <c r="H5" s="31"/>
      <c r="I5" s="33"/>
      <c r="J5" s="31"/>
      <c r="K5" s="31"/>
      <c r="L5" s="31"/>
    </row>
    <row r="6" spans="1:19">
      <c r="C6" s="31" t="s">
        <v>170</v>
      </c>
      <c r="D6" s="31"/>
      <c r="E6" s="31"/>
      <c r="F6" s="32"/>
      <c r="G6" s="31"/>
      <c r="H6" s="31"/>
      <c r="I6" s="33"/>
      <c r="J6" s="31"/>
      <c r="K6" s="31"/>
      <c r="L6" s="31"/>
    </row>
    <row r="7" spans="1:19">
      <c r="A7" t="s">
        <v>20</v>
      </c>
    </row>
    <row r="8" spans="1:19">
      <c r="B8" t="s">
        <v>91</v>
      </c>
      <c r="F8">
        <v>1.4</v>
      </c>
      <c r="H8" t="s">
        <v>133</v>
      </c>
    </row>
    <row r="9" spans="1:19">
      <c r="B9" t="s">
        <v>40</v>
      </c>
    </row>
    <row r="10" spans="1:19">
      <c r="B10" t="s">
        <v>41</v>
      </c>
    </row>
    <row r="12" spans="1:19">
      <c r="B12" s="3" t="s">
        <v>69</v>
      </c>
      <c r="C12" t="s">
        <v>70</v>
      </c>
      <c r="E12">
        <v>40</v>
      </c>
      <c r="F12" t="s">
        <v>71</v>
      </c>
      <c r="G12" s="6">
        <v>3</v>
      </c>
      <c r="H12" t="s">
        <v>72</v>
      </c>
      <c r="J12" s="6">
        <f>E12*G12</f>
        <v>120</v>
      </c>
      <c r="K12" t="s">
        <v>73</v>
      </c>
      <c r="M12" t="s">
        <v>90</v>
      </c>
    </row>
    <row r="13" spans="1:19">
      <c r="C13" t="s">
        <v>74</v>
      </c>
      <c r="E13">
        <v>15</v>
      </c>
      <c r="F13" t="s">
        <v>75</v>
      </c>
      <c r="G13" s="6">
        <v>3</v>
      </c>
      <c r="H13" t="s">
        <v>72</v>
      </c>
      <c r="J13" s="6">
        <f>E13*G13</f>
        <v>45</v>
      </c>
      <c r="K13" t="s">
        <v>73</v>
      </c>
    </row>
    <row r="14" spans="1:19">
      <c r="C14" t="s">
        <v>76</v>
      </c>
      <c r="E14">
        <v>20</v>
      </c>
      <c r="F14" t="s">
        <v>77</v>
      </c>
      <c r="G14" s="6">
        <v>2</v>
      </c>
      <c r="H14" t="s">
        <v>72</v>
      </c>
      <c r="J14" s="6">
        <f>E14*G14</f>
        <v>40</v>
      </c>
      <c r="K14" t="s">
        <v>73</v>
      </c>
    </row>
    <row r="15" spans="1:19">
      <c r="C15" t="s">
        <v>78</v>
      </c>
      <c r="E15">
        <v>1</v>
      </c>
      <c r="F15" t="s">
        <v>77</v>
      </c>
      <c r="G15" s="6">
        <v>20</v>
      </c>
      <c r="H15" t="s">
        <v>72</v>
      </c>
      <c r="J15" s="6">
        <f>E15*G15</f>
        <v>20</v>
      </c>
      <c r="K15" t="s">
        <v>73</v>
      </c>
    </row>
    <row r="16" spans="1:19">
      <c r="C16" t="s">
        <v>79</v>
      </c>
      <c r="E16">
        <v>1</v>
      </c>
      <c r="G16" s="6">
        <v>40</v>
      </c>
      <c r="H16" t="s">
        <v>72</v>
      </c>
      <c r="J16" s="6">
        <f>G16</f>
        <v>40</v>
      </c>
      <c r="K16" t="s">
        <v>73</v>
      </c>
    </row>
    <row r="17" spans="2:16">
      <c r="C17" t="s">
        <v>81</v>
      </c>
      <c r="E17">
        <v>1</v>
      </c>
      <c r="G17" s="6">
        <v>50</v>
      </c>
      <c r="H17" t="s">
        <v>72</v>
      </c>
      <c r="J17" s="6">
        <f>G17*E17</f>
        <v>50</v>
      </c>
      <c r="K17" t="s">
        <v>73</v>
      </c>
      <c r="M17" t="s">
        <v>89</v>
      </c>
    </row>
    <row r="18" spans="2:16">
      <c r="C18" t="s">
        <v>82</v>
      </c>
      <c r="E18">
        <v>1</v>
      </c>
      <c r="G18" s="6">
        <v>10</v>
      </c>
      <c r="H18" t="s">
        <v>72</v>
      </c>
      <c r="J18" s="6">
        <f>G18*E18</f>
        <v>10</v>
      </c>
      <c r="K18" t="s">
        <v>73</v>
      </c>
    </row>
    <row r="19" spans="2:16">
      <c r="C19" t="s">
        <v>83</v>
      </c>
      <c r="G19" s="6">
        <v>2</v>
      </c>
      <c r="H19" t="s">
        <v>72</v>
      </c>
      <c r="J19" s="6">
        <f>G19</f>
        <v>2</v>
      </c>
      <c r="K19" t="s">
        <v>73</v>
      </c>
    </row>
    <row r="20" spans="2:16">
      <c r="C20" t="s">
        <v>84</v>
      </c>
      <c r="G20" s="6">
        <v>4</v>
      </c>
      <c r="H20" t="s">
        <v>72</v>
      </c>
      <c r="J20" s="6">
        <f>G20</f>
        <v>4</v>
      </c>
      <c r="K20" t="s">
        <v>73</v>
      </c>
    </row>
    <row r="21" spans="2:16">
      <c r="C21" t="s">
        <v>87</v>
      </c>
      <c r="G21" s="6">
        <v>35</v>
      </c>
      <c r="H21" t="s">
        <v>72</v>
      </c>
      <c r="J21" s="6">
        <f>G21</f>
        <v>35</v>
      </c>
      <c r="K21" t="s">
        <v>73</v>
      </c>
    </row>
    <row r="22" spans="2:16">
      <c r="C22" t="s">
        <v>85</v>
      </c>
      <c r="G22" s="6">
        <v>0</v>
      </c>
      <c r="J22" s="6">
        <f>G22</f>
        <v>0</v>
      </c>
    </row>
    <row r="23" spans="2:16">
      <c r="C23" t="s">
        <v>86</v>
      </c>
      <c r="G23" s="6">
        <v>0</v>
      </c>
      <c r="J23" s="6">
        <f>G23</f>
        <v>0</v>
      </c>
    </row>
    <row r="24" spans="2:16">
      <c r="C24" s="3" t="s">
        <v>88</v>
      </c>
      <c r="D24" s="3"/>
      <c r="G24" s="6"/>
      <c r="J24" s="10">
        <f>SUM(J12:J23)</f>
        <v>366</v>
      </c>
      <c r="K24" s="9" t="s">
        <v>73</v>
      </c>
    </row>
    <row r="26" spans="2:16">
      <c r="B26" t="s">
        <v>189</v>
      </c>
    </row>
    <row r="27" spans="2:16">
      <c r="C27" t="s">
        <v>193</v>
      </c>
      <c r="H27" s="6">
        <v>60</v>
      </c>
      <c r="I27" t="s">
        <v>96</v>
      </c>
      <c r="J27" s="6">
        <v>0.8</v>
      </c>
      <c r="K27" t="s">
        <v>72</v>
      </c>
      <c r="M27" s="6">
        <f>H27*J27</f>
        <v>48</v>
      </c>
      <c r="N27" t="s">
        <v>73</v>
      </c>
      <c r="P27" t="s">
        <v>191</v>
      </c>
    </row>
    <row r="28" spans="2:16">
      <c r="C28" t="s">
        <v>94</v>
      </c>
      <c r="H28" s="6">
        <v>3</v>
      </c>
      <c r="I28" t="s">
        <v>95</v>
      </c>
      <c r="J28" s="6">
        <v>10</v>
      </c>
      <c r="K28" t="s">
        <v>72</v>
      </c>
      <c r="M28" s="6">
        <f>J28*H28</f>
        <v>30</v>
      </c>
      <c r="N28" t="s">
        <v>73</v>
      </c>
      <c r="P28" t="s">
        <v>97</v>
      </c>
    </row>
    <row r="29" spans="2:16">
      <c r="C29" t="s">
        <v>98</v>
      </c>
      <c r="H29" s="6">
        <v>10</v>
      </c>
      <c r="I29" t="s">
        <v>99</v>
      </c>
      <c r="J29" s="6">
        <v>3</v>
      </c>
      <c r="K29" t="s">
        <v>72</v>
      </c>
      <c r="M29" s="6">
        <f>H29*J29</f>
        <v>30</v>
      </c>
      <c r="N29" t="s">
        <v>73</v>
      </c>
    </row>
    <row r="30" spans="2:16">
      <c r="C30" t="s">
        <v>100</v>
      </c>
      <c r="H30" s="6">
        <v>5</v>
      </c>
      <c r="I30" t="s">
        <v>101</v>
      </c>
      <c r="J30" s="6">
        <v>8</v>
      </c>
      <c r="K30" t="s">
        <v>72</v>
      </c>
      <c r="M30" s="6">
        <f>H30*J30</f>
        <v>40</v>
      </c>
      <c r="N30" t="s">
        <v>73</v>
      </c>
      <c r="P30" t="s">
        <v>102</v>
      </c>
    </row>
    <row r="31" spans="2:16">
      <c r="C31" t="s">
        <v>104</v>
      </c>
      <c r="H31" s="6">
        <v>20</v>
      </c>
      <c r="I31" t="s">
        <v>71</v>
      </c>
      <c r="J31" s="6">
        <v>1</v>
      </c>
      <c r="K31" t="s">
        <v>72</v>
      </c>
      <c r="M31" s="6">
        <f>H31*J31</f>
        <v>20</v>
      </c>
      <c r="N31" t="s">
        <v>73</v>
      </c>
      <c r="P31" t="s">
        <v>105</v>
      </c>
    </row>
    <row r="32" spans="2:16">
      <c r="C32" s="3" t="s">
        <v>103</v>
      </c>
      <c r="D32" s="3"/>
      <c r="E32" s="3"/>
      <c r="F32" s="3"/>
      <c r="G32" s="3"/>
      <c r="M32" s="12">
        <f>SUM(M27:M30)</f>
        <v>148</v>
      </c>
      <c r="N32" s="8" t="s">
        <v>73</v>
      </c>
    </row>
    <row r="33" spans="2:14">
      <c r="M33" s="6"/>
    </row>
    <row r="34" spans="2:14">
      <c r="B34" t="s">
        <v>190</v>
      </c>
      <c r="M34" s="6"/>
    </row>
    <row r="35" spans="2:14">
      <c r="C35" t="s">
        <v>118</v>
      </c>
      <c r="M35" s="6">
        <v>50</v>
      </c>
      <c r="N35" t="s">
        <v>73</v>
      </c>
    </row>
    <row r="36" spans="2:14">
      <c r="C36" t="s">
        <v>107</v>
      </c>
      <c r="M36" s="6">
        <v>10</v>
      </c>
      <c r="N36" t="s">
        <v>73</v>
      </c>
    </row>
    <row r="37" spans="2:14">
      <c r="C37" t="s">
        <v>108</v>
      </c>
      <c r="M37" s="6">
        <v>20</v>
      </c>
      <c r="N37" t="s">
        <v>73</v>
      </c>
    </row>
    <row r="38" spans="2:14">
      <c r="C38" t="s">
        <v>109</v>
      </c>
      <c r="M38" s="6">
        <v>0</v>
      </c>
      <c r="N38" t="s">
        <v>73</v>
      </c>
    </row>
    <row r="39" spans="2:14">
      <c r="C39" s="3" t="s">
        <v>110</v>
      </c>
      <c r="D39" s="3"/>
      <c r="M39" s="12">
        <f>SUM(M35:M38)</f>
        <v>80</v>
      </c>
      <c r="N39" s="8" t="s">
        <v>73</v>
      </c>
    </row>
    <row r="40" spans="2:14">
      <c r="M40" s="6"/>
    </row>
    <row r="41" spans="2:14">
      <c r="B41" t="s">
        <v>169</v>
      </c>
      <c r="M41" s="13">
        <f>J24-M32-M39</f>
        <v>138</v>
      </c>
      <c r="N41" s="14" t="s">
        <v>73</v>
      </c>
    </row>
    <row r="42" spans="2:14">
      <c r="C42" t="s">
        <v>194</v>
      </c>
      <c r="M42" s="16">
        <f>M41</f>
        <v>138</v>
      </c>
      <c r="N42" s="15" t="s">
        <v>73</v>
      </c>
    </row>
    <row r="43" spans="2:14">
      <c r="B43" t="s">
        <v>119</v>
      </c>
      <c r="M43" s="17">
        <f>M41-M42</f>
        <v>0</v>
      </c>
      <c r="N43" s="18" t="s">
        <v>73</v>
      </c>
    </row>
    <row r="45" spans="2:14">
      <c r="M45" s="6"/>
    </row>
    <row r="46" spans="2:14">
      <c r="B46" t="s">
        <v>195</v>
      </c>
      <c r="M46" s="6"/>
    </row>
    <row r="47" spans="2:14">
      <c r="C47" t="s">
        <v>192</v>
      </c>
      <c r="M47" s="11">
        <f>M27</f>
        <v>48</v>
      </c>
      <c r="N47" s="41" t="s">
        <v>73</v>
      </c>
    </row>
    <row r="48" spans="2:14">
      <c r="C48" t="s">
        <v>194</v>
      </c>
      <c r="M48" s="11">
        <f>M42</f>
        <v>138</v>
      </c>
      <c r="N48" s="41" t="s">
        <v>73</v>
      </c>
    </row>
    <row r="49" spans="3:14">
      <c r="C49" s="3" t="s">
        <v>196</v>
      </c>
      <c r="M49" s="43">
        <f>SUM(M47:M48)</f>
        <v>186</v>
      </c>
      <c r="N49" s="42" t="s">
        <v>73</v>
      </c>
    </row>
    <row r="50" spans="3:14">
      <c r="M50" s="6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45"/>
  <sheetViews>
    <sheetView workbookViewId="0">
      <selection activeCell="I12" sqref="I12:V45"/>
    </sheetView>
  </sheetViews>
  <sheetFormatPr defaultRowHeight="15"/>
  <cols>
    <col min="5" max="5" width="9.140625" style="6"/>
    <col min="6" max="10" width="12.7109375" customWidth="1"/>
  </cols>
  <sheetData>
    <row r="1" spans="1:22" ht="15.75">
      <c r="A1" s="4" t="s">
        <v>8</v>
      </c>
      <c r="B1" s="4"/>
      <c r="C1" s="4"/>
      <c r="D1" s="4"/>
      <c r="E1" s="5"/>
      <c r="F1" s="4"/>
      <c r="G1" s="4"/>
      <c r="H1" s="4"/>
      <c r="I1" s="4"/>
      <c r="J1" s="5"/>
      <c r="K1" s="1"/>
      <c r="L1" s="1"/>
      <c r="M1" s="1"/>
      <c r="N1" s="1"/>
      <c r="O1" s="1"/>
    </row>
    <row r="2" spans="1:22" ht="15.75">
      <c r="A2" s="4"/>
      <c r="B2" s="4"/>
      <c r="C2" s="4"/>
      <c r="D2" s="4"/>
      <c r="E2" s="5"/>
      <c r="F2" s="4"/>
      <c r="G2" s="4"/>
      <c r="H2" s="4"/>
      <c r="I2" s="30" t="s">
        <v>166</v>
      </c>
      <c r="J2" s="5"/>
      <c r="K2" s="1"/>
      <c r="L2" s="1"/>
      <c r="M2" s="1"/>
      <c r="N2" s="1"/>
      <c r="O2" s="1"/>
    </row>
    <row r="3" spans="1:22">
      <c r="A3" t="s">
        <v>0</v>
      </c>
      <c r="C3" t="s">
        <v>1</v>
      </c>
      <c r="H3" t="s">
        <v>4</v>
      </c>
      <c r="I3" s="2">
        <v>43499</v>
      </c>
      <c r="J3" s="6"/>
    </row>
    <row r="4" spans="1:22">
      <c r="C4" t="s">
        <v>2</v>
      </c>
      <c r="F4" s="6" t="s">
        <v>3</v>
      </c>
      <c r="H4" t="s">
        <v>5</v>
      </c>
      <c r="I4" s="2">
        <v>43501</v>
      </c>
      <c r="J4" s="6"/>
    </row>
    <row r="5" spans="1:22">
      <c r="C5" s="31" t="s">
        <v>168</v>
      </c>
      <c r="D5" s="31"/>
      <c r="E5" s="31"/>
      <c r="F5" s="32"/>
      <c r="G5" s="31"/>
      <c r="H5" s="31"/>
      <c r="I5" s="33"/>
      <c r="J5" s="31"/>
      <c r="K5" s="31"/>
    </row>
    <row r="6" spans="1:22">
      <c r="C6" s="31" t="s">
        <v>170</v>
      </c>
      <c r="D6" s="31"/>
      <c r="E6" s="31"/>
      <c r="F6" s="32"/>
      <c r="G6" s="31"/>
      <c r="H6" s="31"/>
      <c r="I6" s="33"/>
      <c r="J6" s="31"/>
      <c r="K6" s="31"/>
      <c r="L6" s="31"/>
    </row>
    <row r="7" spans="1:22">
      <c r="A7" t="s">
        <v>20</v>
      </c>
      <c r="J7" s="6"/>
    </row>
    <row r="8" spans="1:22">
      <c r="B8" t="s">
        <v>91</v>
      </c>
      <c r="F8">
        <v>1.5</v>
      </c>
      <c r="H8" t="s">
        <v>133</v>
      </c>
      <c r="J8" s="6"/>
    </row>
    <row r="9" spans="1:22">
      <c r="B9" t="s">
        <v>40</v>
      </c>
      <c r="J9" s="6"/>
    </row>
    <row r="10" spans="1:22">
      <c r="B10" t="s">
        <v>41</v>
      </c>
      <c r="J10" s="6"/>
    </row>
    <row r="12" spans="1:22">
      <c r="A12" s="39" t="s">
        <v>126</v>
      </c>
      <c r="B12" s="39"/>
      <c r="C12" s="39"/>
      <c r="D12" s="39"/>
      <c r="E12" s="40"/>
      <c r="F12" s="39"/>
      <c r="G12" s="20"/>
      <c r="I12" s="29" t="s">
        <v>198</v>
      </c>
      <c r="J12" s="29"/>
      <c r="K12" s="29"/>
      <c r="L12" s="29"/>
      <c r="M12" s="29"/>
      <c r="N12" s="29"/>
    </row>
    <row r="13" spans="1:22">
      <c r="G13" s="20"/>
    </row>
    <row r="14" spans="1:22">
      <c r="B14" t="s">
        <v>227</v>
      </c>
      <c r="F14" s="6">
        <v>10</v>
      </c>
      <c r="G14" s="20" t="s">
        <v>124</v>
      </c>
      <c r="I14" s="6">
        <v>0.59999999999999987</v>
      </c>
      <c r="J14" s="20" t="s">
        <v>134</v>
      </c>
      <c r="K14" s="20"/>
      <c r="L14" s="20"/>
      <c r="M14" s="22">
        <v>500</v>
      </c>
      <c r="N14" s="20" t="s">
        <v>135</v>
      </c>
      <c r="Q14" s="28">
        <f>M14*I14</f>
        <v>299.99999999999994</v>
      </c>
      <c r="R14" s="27" t="s">
        <v>136</v>
      </c>
      <c r="S14" s="14"/>
      <c r="T14" s="14"/>
      <c r="U14" s="14"/>
      <c r="V14" s="14"/>
    </row>
    <row r="15" spans="1:22">
      <c r="B15" t="s">
        <v>120</v>
      </c>
      <c r="F15" s="6">
        <v>10</v>
      </c>
      <c r="G15" s="20"/>
      <c r="J15" t="s">
        <v>197</v>
      </c>
      <c r="Q15">
        <f>F20</f>
        <v>40</v>
      </c>
      <c r="R15" s="20" t="s">
        <v>124</v>
      </c>
    </row>
    <row r="16" spans="1:22">
      <c r="B16" t="s">
        <v>121</v>
      </c>
      <c r="F16" s="6">
        <v>5</v>
      </c>
      <c r="G16" s="20"/>
      <c r="J16" t="s">
        <v>199</v>
      </c>
      <c r="Q16" s="45">
        <f>Q14-Q15</f>
        <v>259.99999999999994</v>
      </c>
      <c r="R16" s="27" t="s">
        <v>124</v>
      </c>
      <c r="S16" s="14"/>
    </row>
    <row r="17" spans="1:20">
      <c r="B17" t="s">
        <v>122</v>
      </c>
      <c r="F17" s="6">
        <v>5</v>
      </c>
      <c r="G17" s="20"/>
      <c r="J17" t="s">
        <v>200</v>
      </c>
      <c r="Q17" s="46">
        <f>(Q16/'CAPEX Econ Anal'!M49)*100</f>
        <v>139.78494623655911</v>
      </c>
      <c r="R17" s="15" t="s">
        <v>201</v>
      </c>
    </row>
    <row r="18" spans="1:20">
      <c r="B18" t="s">
        <v>123</v>
      </c>
      <c r="F18" s="6">
        <f>SUM(F14:F17)</f>
        <v>30</v>
      </c>
      <c r="G18" s="20" t="s">
        <v>124</v>
      </c>
      <c r="I18" s="6">
        <v>240</v>
      </c>
      <c r="J18" s="20" t="s">
        <v>138</v>
      </c>
      <c r="K18" s="20"/>
      <c r="L18" s="20"/>
      <c r="M18" s="20"/>
      <c r="N18" s="20"/>
      <c r="O18" s="20"/>
      <c r="P18" s="20"/>
      <c r="Q18" s="20"/>
      <c r="R18" s="20"/>
      <c r="S18" s="20"/>
    </row>
    <row r="19" spans="1:20">
      <c r="B19" t="s">
        <v>125</v>
      </c>
      <c r="F19" s="6">
        <v>10</v>
      </c>
      <c r="G19" s="20" t="s">
        <v>124</v>
      </c>
      <c r="J19" s="20" t="s">
        <v>137</v>
      </c>
      <c r="K19" s="20"/>
      <c r="L19" s="20"/>
      <c r="M19" s="20"/>
      <c r="N19" s="20"/>
      <c r="O19" s="20"/>
      <c r="P19" s="20"/>
      <c r="Q19" s="20"/>
      <c r="R19" s="20"/>
      <c r="S19" s="20"/>
    </row>
    <row r="20" spans="1:20">
      <c r="B20" s="37" t="s">
        <v>127</v>
      </c>
      <c r="C20" s="37"/>
      <c r="D20" s="37"/>
      <c r="E20" s="38"/>
      <c r="F20" s="38">
        <f>SUM(F18:F19)</f>
        <v>40</v>
      </c>
      <c r="G20" s="44" t="s">
        <v>124</v>
      </c>
      <c r="K20" s="23" t="s">
        <v>202</v>
      </c>
    </row>
    <row r="21" spans="1:20">
      <c r="F21" s="6"/>
      <c r="G21" s="20"/>
    </row>
    <row r="22" spans="1:20">
      <c r="A22" s="39" t="s">
        <v>128</v>
      </c>
      <c r="B22" s="39"/>
      <c r="C22" s="39"/>
      <c r="D22" s="39"/>
      <c r="E22" s="40"/>
      <c r="F22" s="39"/>
      <c r="G22" s="20"/>
      <c r="I22" s="29" t="s">
        <v>145</v>
      </c>
      <c r="J22" s="29"/>
      <c r="K22" s="29"/>
      <c r="L22" s="29"/>
    </row>
    <row r="23" spans="1:20">
      <c r="F23" s="6"/>
      <c r="G23" s="20"/>
    </row>
    <row r="24" spans="1:20">
      <c r="B24" t="s">
        <v>227</v>
      </c>
      <c r="F24" s="6">
        <v>2</v>
      </c>
      <c r="G24" s="20" t="s">
        <v>124</v>
      </c>
      <c r="I24" s="6">
        <v>1</v>
      </c>
      <c r="J24" s="20" t="s">
        <v>73</v>
      </c>
      <c r="K24" t="s">
        <v>139</v>
      </c>
    </row>
    <row r="25" spans="1:20">
      <c r="B25" t="s">
        <v>120</v>
      </c>
      <c r="F25" s="6">
        <v>1</v>
      </c>
      <c r="G25" s="20" t="s">
        <v>124</v>
      </c>
      <c r="I25" s="6">
        <v>1</v>
      </c>
      <c r="J25" s="20" t="s">
        <v>73</v>
      </c>
      <c r="K25" t="s">
        <v>140</v>
      </c>
    </row>
    <row r="26" spans="1:20">
      <c r="B26" t="s">
        <v>121</v>
      </c>
      <c r="F26" s="6">
        <v>1</v>
      </c>
      <c r="G26" s="20" t="s">
        <v>124</v>
      </c>
      <c r="I26" s="6">
        <v>36</v>
      </c>
      <c r="J26" s="20" t="s">
        <v>73</v>
      </c>
      <c r="K26" t="s">
        <v>156</v>
      </c>
    </row>
    <row r="27" spans="1:20">
      <c r="B27" t="s">
        <v>122</v>
      </c>
      <c r="F27" s="6">
        <v>1</v>
      </c>
      <c r="G27" s="20" t="s">
        <v>124</v>
      </c>
      <c r="I27" s="6"/>
      <c r="J27" s="20"/>
      <c r="K27" s="25">
        <v>6000</v>
      </c>
      <c r="L27" t="s">
        <v>146</v>
      </c>
      <c r="N27" s="25">
        <v>6000</v>
      </c>
      <c r="O27" t="s">
        <v>147</v>
      </c>
      <c r="S27" s="11">
        <f>N27*K27/10^6</f>
        <v>36</v>
      </c>
      <c r="T27" t="s">
        <v>131</v>
      </c>
    </row>
    <row r="28" spans="1:20">
      <c r="B28" t="s">
        <v>123</v>
      </c>
      <c r="F28" s="6">
        <f>SUM(F24:F27)</f>
        <v>5</v>
      </c>
      <c r="G28" s="20" t="s">
        <v>124</v>
      </c>
      <c r="I28" s="6">
        <v>1</v>
      </c>
      <c r="J28" s="20" t="s">
        <v>73</v>
      </c>
      <c r="K28" t="s">
        <v>148</v>
      </c>
    </row>
    <row r="29" spans="1:20">
      <c r="B29" t="s">
        <v>184</v>
      </c>
      <c r="E29" s="6">
        <v>30</v>
      </c>
      <c r="G29" s="20" t="s">
        <v>185</v>
      </c>
      <c r="I29" s="6"/>
    </row>
    <row r="30" spans="1:20">
      <c r="B30" t="s">
        <v>186</v>
      </c>
      <c r="E30" s="6">
        <v>1.5</v>
      </c>
      <c r="F30">
        <f>E30*8*E29/100</f>
        <v>3.6</v>
      </c>
      <c r="G30" s="20" t="s">
        <v>124</v>
      </c>
      <c r="I30" s="6">
        <v>1</v>
      </c>
      <c r="J30" s="20" t="s">
        <v>73</v>
      </c>
      <c r="K30" t="s">
        <v>159</v>
      </c>
    </row>
    <row r="31" spans="1:20">
      <c r="B31" t="s">
        <v>187</v>
      </c>
      <c r="F31">
        <f>F28-F30</f>
        <v>1.4</v>
      </c>
      <c r="G31" s="20" t="s">
        <v>124</v>
      </c>
      <c r="I31" s="6">
        <v>10</v>
      </c>
      <c r="J31" s="20" t="s">
        <v>73</v>
      </c>
      <c r="K31" t="s">
        <v>160</v>
      </c>
    </row>
    <row r="32" spans="1:20">
      <c r="G32" s="20"/>
      <c r="I32" s="6">
        <v>0</v>
      </c>
      <c r="J32" s="20" t="s">
        <v>73</v>
      </c>
      <c r="K32" t="s">
        <v>109</v>
      </c>
    </row>
    <row r="33" spans="1:18">
      <c r="G33" s="20"/>
      <c r="I33" s="26">
        <f>SUM(I24:I32)</f>
        <v>50</v>
      </c>
      <c r="J33" s="27" t="s">
        <v>73</v>
      </c>
      <c r="K33" s="14" t="s">
        <v>155</v>
      </c>
      <c r="L33" s="14"/>
      <c r="M33" s="14"/>
    </row>
    <row r="34" spans="1:18">
      <c r="G34" s="20"/>
      <c r="K34" t="s">
        <v>203</v>
      </c>
      <c r="Q34" s="46">
        <f>(I33/'CAPEX Econ Anal'!J24)*100</f>
        <v>13.661202185792352</v>
      </c>
      <c r="R34" s="15" t="s">
        <v>201</v>
      </c>
    </row>
    <row r="35" spans="1:18">
      <c r="A35" s="39" t="s">
        <v>129</v>
      </c>
      <c r="B35" s="39"/>
      <c r="C35" s="39"/>
      <c r="D35" s="39"/>
      <c r="E35" s="40"/>
      <c r="F35" s="39"/>
      <c r="G35" s="20"/>
      <c r="I35" s="6"/>
      <c r="K35" t="s">
        <v>204</v>
      </c>
      <c r="Q35" s="46">
        <f>(I33/'CAPEX Econ Anal'!M42)*100</f>
        <v>36.231884057971016</v>
      </c>
      <c r="R35" s="15" t="s">
        <v>201</v>
      </c>
    </row>
    <row r="36" spans="1:18">
      <c r="G36" s="20"/>
      <c r="I36" s="6"/>
      <c r="J36" t="s">
        <v>157</v>
      </c>
      <c r="L36" s="24">
        <v>32000</v>
      </c>
    </row>
    <row r="37" spans="1:18">
      <c r="B37" t="s">
        <v>227</v>
      </c>
      <c r="F37" s="6">
        <v>3</v>
      </c>
      <c r="G37" s="20" t="s">
        <v>124</v>
      </c>
      <c r="I37" s="11">
        <f>I33/L36*10^6</f>
        <v>1562.5</v>
      </c>
      <c r="J37" t="s">
        <v>158</v>
      </c>
    </row>
    <row r="38" spans="1:18">
      <c r="B38" t="s">
        <v>120</v>
      </c>
      <c r="F38" s="6">
        <v>3</v>
      </c>
      <c r="G38" s="20"/>
    </row>
    <row r="39" spans="1:18">
      <c r="B39" t="s">
        <v>121</v>
      </c>
      <c r="F39" s="6">
        <v>3</v>
      </c>
      <c r="G39" s="20"/>
      <c r="I39" s="29" t="s">
        <v>163</v>
      </c>
      <c r="J39" s="29"/>
      <c r="K39" s="29"/>
      <c r="L39" s="29"/>
    </row>
    <row r="40" spans="1:18">
      <c r="B40" t="s">
        <v>122</v>
      </c>
      <c r="F40" s="6">
        <v>2</v>
      </c>
      <c r="G40" s="20"/>
    </row>
    <row r="41" spans="1:18">
      <c r="B41" t="s">
        <v>123</v>
      </c>
      <c r="F41" s="6">
        <f>SUM(F37:F40)</f>
        <v>11</v>
      </c>
      <c r="G41" s="20" t="s">
        <v>124</v>
      </c>
      <c r="I41" t="s">
        <v>205</v>
      </c>
      <c r="L41" s="7">
        <f>Q16</f>
        <v>259.99999999999994</v>
      </c>
      <c r="N41" t="s">
        <v>131</v>
      </c>
    </row>
    <row r="42" spans="1:18">
      <c r="G42" s="20"/>
      <c r="I42" t="s">
        <v>164</v>
      </c>
      <c r="L42" s="7">
        <v>50</v>
      </c>
      <c r="N42" t="s">
        <v>131</v>
      </c>
    </row>
    <row r="43" spans="1:18">
      <c r="I43" s="14" t="s">
        <v>165</v>
      </c>
      <c r="J43" s="14"/>
      <c r="K43" s="14"/>
      <c r="L43" s="28">
        <f>SUM(L41:L42)</f>
        <v>309.99999999999994</v>
      </c>
      <c r="M43" s="14"/>
      <c r="N43" s="14" t="s">
        <v>131</v>
      </c>
    </row>
    <row r="44" spans="1:18">
      <c r="K44" t="s">
        <v>203</v>
      </c>
      <c r="Q44" s="47">
        <f>(L43/'CAPEX Econ Anal'!J24)*100</f>
        <v>84.699453551912555</v>
      </c>
      <c r="R44" s="15" t="s">
        <v>201</v>
      </c>
    </row>
    <row r="45" spans="1:18">
      <c r="K45" t="s">
        <v>204</v>
      </c>
      <c r="Q45" s="47">
        <f>(L43/'CAPEX Econ Anal'!M42)*100</f>
        <v>224.63768115942025</v>
      </c>
      <c r="R45" s="15" t="s">
        <v>201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P71"/>
  <sheetViews>
    <sheetView workbookViewId="0">
      <selection activeCell="D72" sqref="D72"/>
    </sheetView>
  </sheetViews>
  <sheetFormatPr defaultRowHeight="15"/>
  <cols>
    <col min="2" max="2" width="5.7109375" style="6" customWidth="1"/>
    <col min="3" max="4" width="12.7109375" customWidth="1"/>
    <col min="5" max="5" width="9.7109375" customWidth="1"/>
    <col min="6" max="6" width="12.7109375" style="20" customWidth="1"/>
    <col min="7" max="7" width="9.140625" style="6"/>
  </cols>
  <sheetData>
    <row r="1" spans="1:16" ht="15.75">
      <c r="A1" s="4" t="s">
        <v>8</v>
      </c>
      <c r="B1" s="5"/>
      <c r="C1" s="4"/>
      <c r="D1" s="4"/>
      <c r="E1" s="4"/>
      <c r="F1" s="19"/>
      <c r="G1" s="5"/>
      <c r="H1" s="4"/>
      <c r="I1" s="4"/>
      <c r="J1" s="4"/>
      <c r="K1" s="1"/>
      <c r="L1" s="1"/>
      <c r="M1" s="1"/>
      <c r="N1" s="1"/>
      <c r="O1" s="1"/>
      <c r="P1" s="1"/>
    </row>
    <row r="2" spans="1:16" ht="15.75">
      <c r="A2" s="4"/>
      <c r="B2" s="5"/>
      <c r="C2" s="4"/>
      <c r="D2" s="4"/>
      <c r="E2" s="4"/>
      <c r="F2" s="19"/>
      <c r="G2" s="5"/>
      <c r="H2" s="4"/>
      <c r="I2" s="30" t="s">
        <v>166</v>
      </c>
      <c r="J2" s="4"/>
      <c r="K2" s="1"/>
      <c r="L2" s="1"/>
      <c r="M2" s="1"/>
      <c r="N2" s="1"/>
      <c r="O2" s="1"/>
      <c r="P2" s="1"/>
    </row>
    <row r="3" spans="1:16" ht="15.75">
      <c r="A3" t="s">
        <v>0</v>
      </c>
      <c r="B3"/>
      <c r="C3" t="s">
        <v>1</v>
      </c>
      <c r="G3"/>
      <c r="H3" t="s">
        <v>4</v>
      </c>
      <c r="I3" s="2">
        <v>43499</v>
      </c>
      <c r="J3" s="4"/>
      <c r="L3" s="1"/>
      <c r="M3" s="1"/>
      <c r="N3" s="1"/>
      <c r="O3" s="1"/>
      <c r="P3" s="1"/>
    </row>
    <row r="4" spans="1:16">
      <c r="B4"/>
      <c r="C4" t="s">
        <v>2</v>
      </c>
      <c r="E4" t="s">
        <v>3</v>
      </c>
      <c r="G4"/>
      <c r="H4" t="s">
        <v>5</v>
      </c>
      <c r="I4" s="2">
        <v>43501</v>
      </c>
    </row>
    <row r="5" spans="1:16">
      <c r="B5"/>
      <c r="C5" s="31" t="s">
        <v>168</v>
      </c>
      <c r="D5" s="31"/>
      <c r="E5" s="31"/>
      <c r="F5" s="32"/>
      <c r="G5" s="31"/>
      <c r="H5" s="31"/>
      <c r="I5" s="33"/>
      <c r="J5" s="31"/>
      <c r="K5" s="31"/>
      <c r="L5" s="31"/>
    </row>
    <row r="6" spans="1:16">
      <c r="B6"/>
      <c r="C6" s="31" t="s">
        <v>170</v>
      </c>
      <c r="D6" s="31"/>
      <c r="E6" s="31"/>
      <c r="F6" s="32"/>
      <c r="G6" s="31"/>
      <c r="H6" s="31"/>
      <c r="I6" s="33"/>
      <c r="J6" s="31"/>
      <c r="K6" s="31"/>
      <c r="L6" s="31"/>
    </row>
    <row r="7" spans="1:16">
      <c r="A7" s="3" t="s">
        <v>7</v>
      </c>
      <c r="C7" t="s">
        <v>42</v>
      </c>
      <c r="D7" t="s">
        <v>43</v>
      </c>
    </row>
    <row r="8" spans="1:16">
      <c r="A8" s="3"/>
      <c r="E8" t="s">
        <v>50</v>
      </c>
    </row>
    <row r="9" spans="1:16">
      <c r="A9" s="3"/>
      <c r="E9" t="s">
        <v>51</v>
      </c>
    </row>
    <row r="10" spans="1:16">
      <c r="E10" t="s">
        <v>60</v>
      </c>
    </row>
    <row r="11" spans="1:16">
      <c r="D11" t="s">
        <v>46</v>
      </c>
    </row>
    <row r="12" spans="1:16">
      <c r="E12" t="s">
        <v>47</v>
      </c>
    </row>
    <row r="13" spans="1:16">
      <c r="D13" t="s">
        <v>48</v>
      </c>
    </row>
    <row r="14" spans="1:16">
      <c r="D14" t="s">
        <v>49</v>
      </c>
    </row>
    <row r="15" spans="1:16">
      <c r="D15" t="s">
        <v>92</v>
      </c>
    </row>
    <row r="16" spans="1:16">
      <c r="D16" t="s">
        <v>93</v>
      </c>
    </row>
    <row r="18" spans="1:12">
      <c r="A18" t="s">
        <v>6</v>
      </c>
      <c r="B18" s="6">
        <v>1</v>
      </c>
      <c r="C18" t="s">
        <v>62</v>
      </c>
      <c r="E18" s="6"/>
      <c r="G18"/>
    </row>
    <row r="19" spans="1:12">
      <c r="C19" t="s">
        <v>44</v>
      </c>
      <c r="E19">
        <v>0.7</v>
      </c>
      <c r="F19" s="20" t="s">
        <v>131</v>
      </c>
      <c r="G19" t="s">
        <v>59</v>
      </c>
      <c r="H19" s="6"/>
      <c r="K19" t="s">
        <v>61</v>
      </c>
      <c r="L19" t="s">
        <v>111</v>
      </c>
    </row>
    <row r="20" spans="1:12">
      <c r="C20" t="s">
        <v>45</v>
      </c>
      <c r="E20">
        <v>0.7</v>
      </c>
      <c r="F20" s="20" t="s">
        <v>131</v>
      </c>
      <c r="G20" t="s">
        <v>59</v>
      </c>
      <c r="H20" s="6"/>
      <c r="K20" t="s">
        <v>61</v>
      </c>
      <c r="L20" t="s">
        <v>111</v>
      </c>
    </row>
    <row r="21" spans="1:12">
      <c r="C21" t="s">
        <v>57</v>
      </c>
      <c r="E21">
        <v>0.8</v>
      </c>
      <c r="F21" s="20" t="s">
        <v>131</v>
      </c>
      <c r="G21" t="s">
        <v>59</v>
      </c>
      <c r="H21" s="6"/>
      <c r="K21" t="s">
        <v>61</v>
      </c>
      <c r="L21" t="s">
        <v>111</v>
      </c>
    </row>
    <row r="22" spans="1:12">
      <c r="C22" t="s">
        <v>58</v>
      </c>
      <c r="E22">
        <v>0.8</v>
      </c>
      <c r="F22" s="20" t="s">
        <v>131</v>
      </c>
      <c r="G22" t="s">
        <v>59</v>
      </c>
      <c r="H22" s="6"/>
      <c r="K22" t="s">
        <v>115</v>
      </c>
      <c r="L22" t="s">
        <v>111</v>
      </c>
    </row>
    <row r="23" spans="1:12">
      <c r="C23" t="s">
        <v>112</v>
      </c>
      <c r="E23">
        <v>1.4</v>
      </c>
      <c r="F23" s="20" t="s">
        <v>131</v>
      </c>
      <c r="G23" t="s">
        <v>114</v>
      </c>
      <c r="H23" s="6"/>
      <c r="K23" t="s">
        <v>115</v>
      </c>
      <c r="L23" t="s">
        <v>113</v>
      </c>
    </row>
    <row r="24" spans="1:12">
      <c r="C24" t="s">
        <v>130</v>
      </c>
      <c r="E24">
        <f>E23-E22</f>
        <v>0.59999999999999987</v>
      </c>
      <c r="F24" s="20" t="s">
        <v>131</v>
      </c>
      <c r="G24" s="21" t="s">
        <v>132</v>
      </c>
      <c r="K24" t="s">
        <v>115</v>
      </c>
      <c r="L24" t="s">
        <v>113</v>
      </c>
    </row>
    <row r="25" spans="1:12">
      <c r="G25" s="21"/>
    </row>
    <row r="26" spans="1:12">
      <c r="G26" s="6" t="s">
        <v>10</v>
      </c>
    </row>
    <row r="27" spans="1:12">
      <c r="B27" s="6">
        <v>1</v>
      </c>
      <c r="C27" t="s">
        <v>63</v>
      </c>
      <c r="G27" s="6">
        <v>14</v>
      </c>
      <c r="H27" t="s">
        <v>11</v>
      </c>
    </row>
    <row r="28" spans="1:12">
      <c r="B28" s="6">
        <v>2</v>
      </c>
      <c r="C28" t="s">
        <v>64</v>
      </c>
      <c r="G28" s="6">
        <v>15</v>
      </c>
      <c r="H28" t="s">
        <v>12</v>
      </c>
    </row>
    <row r="29" spans="1:12">
      <c r="B29" s="6">
        <v>3</v>
      </c>
      <c r="C29" t="s">
        <v>65</v>
      </c>
      <c r="G29" s="6">
        <v>3</v>
      </c>
      <c r="H29" t="s">
        <v>14</v>
      </c>
    </row>
    <row r="30" spans="1:12">
      <c r="B30" s="6">
        <v>3</v>
      </c>
      <c r="C30" t="s">
        <v>66</v>
      </c>
      <c r="G30" s="6">
        <v>3</v>
      </c>
      <c r="H30" t="s">
        <v>13</v>
      </c>
    </row>
    <row r="31" spans="1:12">
      <c r="B31" s="6">
        <v>4</v>
      </c>
      <c r="C31" t="s">
        <v>15</v>
      </c>
      <c r="G31" s="6" t="s">
        <v>16</v>
      </c>
      <c r="H31" t="s">
        <v>17</v>
      </c>
    </row>
    <row r="32" spans="1:12">
      <c r="C32" t="s">
        <v>67</v>
      </c>
      <c r="H32" t="s">
        <v>9</v>
      </c>
    </row>
    <row r="33" spans="2:13">
      <c r="B33" s="6">
        <v>5</v>
      </c>
      <c r="C33" t="s">
        <v>24</v>
      </c>
      <c r="H33" t="s">
        <v>68</v>
      </c>
    </row>
    <row r="34" spans="2:13">
      <c r="B34" s="6">
        <v>6</v>
      </c>
      <c r="C34" t="s">
        <v>26</v>
      </c>
      <c r="H34" t="s">
        <v>28</v>
      </c>
    </row>
    <row r="35" spans="2:13">
      <c r="B35" s="6">
        <v>7</v>
      </c>
      <c r="C35" t="s">
        <v>27</v>
      </c>
      <c r="H35" t="s">
        <v>29</v>
      </c>
    </row>
    <row r="36" spans="2:13">
      <c r="B36" s="6">
        <v>8</v>
      </c>
      <c r="C36" t="s">
        <v>18</v>
      </c>
      <c r="H36" t="s">
        <v>19</v>
      </c>
    </row>
    <row r="37" spans="2:13">
      <c r="B37" s="6">
        <v>7</v>
      </c>
      <c r="C37" t="s">
        <v>21</v>
      </c>
      <c r="H37" t="s">
        <v>22</v>
      </c>
    </row>
    <row r="38" spans="2:13">
      <c r="B38" s="6">
        <v>8</v>
      </c>
      <c r="C38" t="s">
        <v>23</v>
      </c>
      <c r="H38" t="s">
        <v>116</v>
      </c>
    </row>
    <row r="39" spans="2:13">
      <c r="H39" t="s">
        <v>117</v>
      </c>
    </row>
    <row r="40" spans="2:13">
      <c r="B40" s="6">
        <v>9</v>
      </c>
      <c r="C40" t="s">
        <v>25</v>
      </c>
      <c r="H40" t="s">
        <v>30</v>
      </c>
    </row>
    <row r="41" spans="2:13">
      <c r="B41" s="6">
        <v>10</v>
      </c>
      <c r="C41" t="s">
        <v>31</v>
      </c>
    </row>
    <row r="42" spans="2:13">
      <c r="B42" s="6">
        <v>12</v>
      </c>
      <c r="C42" t="s">
        <v>56</v>
      </c>
    </row>
    <row r="43" spans="2:13">
      <c r="B43" s="6">
        <v>13</v>
      </c>
      <c r="C43" t="s">
        <v>69</v>
      </c>
    </row>
    <row r="44" spans="2:13">
      <c r="C44" t="s">
        <v>70</v>
      </c>
      <c r="E44">
        <v>40</v>
      </c>
      <c r="F44" s="20" t="s">
        <v>71</v>
      </c>
      <c r="G44" s="6">
        <v>3</v>
      </c>
      <c r="H44" t="s">
        <v>72</v>
      </c>
      <c r="J44">
        <f>E44*G44</f>
        <v>120</v>
      </c>
      <c r="K44" t="s">
        <v>73</v>
      </c>
      <c r="M44" t="s">
        <v>80</v>
      </c>
    </row>
    <row r="45" spans="2:13">
      <c r="C45" t="s">
        <v>74</v>
      </c>
      <c r="E45">
        <v>15</v>
      </c>
      <c r="F45" s="20" t="s">
        <v>75</v>
      </c>
      <c r="G45" s="6">
        <v>3</v>
      </c>
      <c r="H45" t="s">
        <v>72</v>
      </c>
      <c r="J45">
        <f>E45*G45</f>
        <v>45</v>
      </c>
      <c r="K45" t="s">
        <v>73</v>
      </c>
    </row>
    <row r="46" spans="2:13">
      <c r="C46" t="s">
        <v>76</v>
      </c>
      <c r="E46">
        <v>20</v>
      </c>
      <c r="F46" s="20" t="s">
        <v>77</v>
      </c>
      <c r="G46" s="6">
        <v>2</v>
      </c>
      <c r="H46" t="s">
        <v>72</v>
      </c>
      <c r="J46">
        <f>E46*G46</f>
        <v>40</v>
      </c>
      <c r="K46" t="s">
        <v>73</v>
      </c>
    </row>
    <row r="47" spans="2:13">
      <c r="C47" t="s">
        <v>78</v>
      </c>
      <c r="E47">
        <v>1</v>
      </c>
      <c r="F47" s="20" t="s">
        <v>77</v>
      </c>
      <c r="G47" s="6">
        <v>20</v>
      </c>
      <c r="H47" t="s">
        <v>72</v>
      </c>
      <c r="J47">
        <f>E47*G47</f>
        <v>20</v>
      </c>
      <c r="K47" t="s">
        <v>73</v>
      </c>
    </row>
    <row r="48" spans="2:13">
      <c r="C48" t="s">
        <v>79</v>
      </c>
      <c r="E48">
        <v>1</v>
      </c>
      <c r="G48" s="6">
        <v>40</v>
      </c>
      <c r="H48" t="s">
        <v>72</v>
      </c>
      <c r="J48">
        <f>G48</f>
        <v>40</v>
      </c>
      <c r="K48" t="s">
        <v>73</v>
      </c>
    </row>
    <row r="49" spans="2:13">
      <c r="C49" t="s">
        <v>81</v>
      </c>
      <c r="E49">
        <v>1</v>
      </c>
      <c r="G49" s="6">
        <v>50</v>
      </c>
      <c r="H49" t="s">
        <v>72</v>
      </c>
      <c r="J49">
        <f>G49*E49</f>
        <v>50</v>
      </c>
      <c r="K49" t="s">
        <v>73</v>
      </c>
      <c r="M49" t="s">
        <v>89</v>
      </c>
    </row>
    <row r="50" spans="2:13">
      <c r="C50" t="s">
        <v>82</v>
      </c>
      <c r="E50">
        <v>1</v>
      </c>
      <c r="G50" s="6">
        <v>10</v>
      </c>
      <c r="H50" t="s">
        <v>72</v>
      </c>
      <c r="J50">
        <f>G50*E50</f>
        <v>10</v>
      </c>
      <c r="K50" t="s">
        <v>73</v>
      </c>
    </row>
    <row r="51" spans="2:13">
      <c r="C51" t="s">
        <v>83</v>
      </c>
      <c r="G51" s="6">
        <v>2</v>
      </c>
      <c r="H51" t="s">
        <v>72</v>
      </c>
      <c r="J51">
        <f>G51</f>
        <v>2</v>
      </c>
      <c r="K51" t="s">
        <v>73</v>
      </c>
    </row>
    <row r="52" spans="2:13">
      <c r="C52" t="s">
        <v>84</v>
      </c>
      <c r="G52" s="6">
        <v>4</v>
      </c>
      <c r="H52" t="s">
        <v>72</v>
      </c>
      <c r="J52">
        <f>G52</f>
        <v>4</v>
      </c>
      <c r="K52" t="s">
        <v>73</v>
      </c>
    </row>
    <row r="53" spans="2:13">
      <c r="C53" t="s">
        <v>87</v>
      </c>
      <c r="G53" s="6">
        <v>35</v>
      </c>
      <c r="H53" t="s">
        <v>72</v>
      </c>
      <c r="J53">
        <f>G53</f>
        <v>35</v>
      </c>
      <c r="K53" t="s">
        <v>73</v>
      </c>
    </row>
    <row r="54" spans="2:13">
      <c r="C54" t="s">
        <v>85</v>
      </c>
      <c r="G54" s="6">
        <v>0</v>
      </c>
      <c r="J54">
        <f>G54</f>
        <v>0</v>
      </c>
    </row>
    <row r="55" spans="2:13">
      <c r="C55" t="s">
        <v>86</v>
      </c>
      <c r="G55" s="6">
        <v>0</v>
      </c>
      <c r="J55">
        <f>G55</f>
        <v>0</v>
      </c>
    </row>
    <row r="56" spans="2:13">
      <c r="C56" s="3" t="s">
        <v>88</v>
      </c>
      <c r="D56" s="3"/>
      <c r="J56" s="8">
        <f>SUM(J44:J55)</f>
        <v>366</v>
      </c>
      <c r="K56" s="8" t="s">
        <v>73</v>
      </c>
    </row>
    <row r="57" spans="2:13">
      <c r="B57" s="6">
        <v>14</v>
      </c>
      <c r="C57" t="s">
        <v>106</v>
      </c>
    </row>
    <row r="58" spans="2:13">
      <c r="B58" s="6">
        <v>15</v>
      </c>
      <c r="C58" t="s">
        <v>152</v>
      </c>
    </row>
    <row r="59" spans="2:13">
      <c r="B59" s="6">
        <v>16</v>
      </c>
      <c r="C59" t="s">
        <v>141</v>
      </c>
    </row>
    <row r="60" spans="2:13">
      <c r="B60" s="6">
        <v>17</v>
      </c>
      <c r="C60" t="s">
        <v>142</v>
      </c>
    </row>
    <row r="61" spans="2:13">
      <c r="B61" s="6">
        <v>18</v>
      </c>
      <c r="C61" t="s">
        <v>143</v>
      </c>
    </row>
    <row r="62" spans="2:13">
      <c r="B62" s="6">
        <v>19</v>
      </c>
      <c r="C62" t="s">
        <v>149</v>
      </c>
    </row>
    <row r="63" spans="2:13">
      <c r="B63" s="6">
        <v>20</v>
      </c>
      <c r="C63" t="s">
        <v>150</v>
      </c>
    </row>
    <row r="64" spans="2:13">
      <c r="B64" s="6">
        <v>21</v>
      </c>
      <c r="C64" t="s">
        <v>151</v>
      </c>
    </row>
    <row r="65" spans="2:11">
      <c r="B65" s="6">
        <v>22</v>
      </c>
      <c r="C65" t="s">
        <v>153</v>
      </c>
    </row>
    <row r="66" spans="2:11">
      <c r="B66" s="6">
        <v>23</v>
      </c>
      <c r="C66" t="s">
        <v>154</v>
      </c>
    </row>
    <row r="67" spans="2:11">
      <c r="B67" s="6">
        <v>24</v>
      </c>
      <c r="C67" t="s">
        <v>167</v>
      </c>
      <c r="K67" s="24">
        <v>25000</v>
      </c>
    </row>
    <row r="68" spans="2:11">
      <c r="B68" s="6">
        <v>25</v>
      </c>
      <c r="C68" t="s">
        <v>206</v>
      </c>
    </row>
    <row r="69" spans="2:11">
      <c r="D69" t="s">
        <v>207</v>
      </c>
    </row>
    <row r="70" spans="2:11">
      <c r="D70" t="s">
        <v>208</v>
      </c>
    </row>
    <row r="71" spans="2:11">
      <c r="D71" t="s">
        <v>209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38"/>
  <sheetViews>
    <sheetView workbookViewId="0">
      <selection activeCell="A7" sqref="A7:B7"/>
    </sheetView>
  </sheetViews>
  <sheetFormatPr defaultRowHeight="15"/>
  <sheetData>
    <row r="1" spans="1:15" ht="15.75">
      <c r="A1" s="4" t="s">
        <v>8</v>
      </c>
      <c r="B1" s="5"/>
      <c r="C1" s="4"/>
      <c r="D1" s="4"/>
      <c r="E1" s="4"/>
      <c r="F1" s="4"/>
      <c r="G1" s="5"/>
      <c r="H1" s="4"/>
      <c r="I1" s="4"/>
      <c r="J1" s="4"/>
      <c r="K1" s="1"/>
      <c r="L1" s="1"/>
      <c r="M1" s="1"/>
      <c r="N1" s="1"/>
      <c r="O1" s="1"/>
    </row>
    <row r="2" spans="1:15" ht="15.75">
      <c r="A2" s="4"/>
      <c r="B2" s="5"/>
      <c r="C2" s="4"/>
      <c r="D2" s="4"/>
      <c r="E2" s="4"/>
      <c r="F2" s="4"/>
      <c r="G2" s="5"/>
      <c r="H2" s="4"/>
      <c r="I2" s="30" t="s">
        <v>166</v>
      </c>
      <c r="J2" s="4"/>
      <c r="K2" s="1"/>
      <c r="L2" s="1"/>
      <c r="M2" s="1"/>
      <c r="N2" s="1"/>
      <c r="O2" s="1"/>
    </row>
    <row r="3" spans="1:15" ht="15.75">
      <c r="A3" t="s">
        <v>0</v>
      </c>
      <c r="C3" t="s">
        <v>1</v>
      </c>
      <c r="H3" t="s">
        <v>4</v>
      </c>
      <c r="I3" s="2">
        <v>43499</v>
      </c>
      <c r="J3" s="4"/>
      <c r="L3" s="1"/>
      <c r="M3" s="1"/>
      <c r="N3" s="1"/>
      <c r="O3" s="1"/>
    </row>
    <row r="4" spans="1:15">
      <c r="C4" t="s">
        <v>2</v>
      </c>
      <c r="E4" t="s">
        <v>3</v>
      </c>
      <c r="H4" t="s">
        <v>5</v>
      </c>
      <c r="I4" s="2">
        <v>43501</v>
      </c>
    </row>
    <row r="5" spans="1:15">
      <c r="C5" s="31" t="s">
        <v>168</v>
      </c>
      <c r="D5" s="31"/>
      <c r="E5" s="31"/>
      <c r="F5" s="32"/>
      <c r="G5" s="31"/>
      <c r="H5" s="31"/>
      <c r="I5" s="33"/>
      <c r="J5" s="31"/>
      <c r="K5" s="31"/>
    </row>
    <row r="6" spans="1:15">
      <c r="C6" s="31" t="s">
        <v>170</v>
      </c>
      <c r="D6" s="31"/>
      <c r="E6" s="31"/>
      <c r="F6" s="32"/>
      <c r="G6" s="31"/>
      <c r="H6" s="31"/>
      <c r="I6" s="33"/>
      <c r="J6" s="31"/>
      <c r="K6" s="31"/>
      <c r="L6" s="31"/>
    </row>
    <row r="7" spans="1:15">
      <c r="A7" s="3" t="s">
        <v>32</v>
      </c>
      <c r="B7" s="3"/>
    </row>
    <row r="9" spans="1:15">
      <c r="A9" t="s">
        <v>33</v>
      </c>
    </row>
    <row r="10" spans="1:15">
      <c r="B10" t="s">
        <v>38</v>
      </c>
      <c r="H10" t="s">
        <v>39</v>
      </c>
    </row>
    <row r="11" spans="1:15">
      <c r="B11" t="s">
        <v>34</v>
      </c>
      <c r="H11" t="s">
        <v>39</v>
      </c>
    </row>
    <row r="12" spans="1:15">
      <c r="B12" t="s">
        <v>37</v>
      </c>
      <c r="H12" t="s">
        <v>39</v>
      </c>
    </row>
    <row r="13" spans="1:15">
      <c r="B13" t="s">
        <v>34</v>
      </c>
      <c r="H13" t="s">
        <v>39</v>
      </c>
    </row>
    <row r="14" spans="1:15">
      <c r="B14" t="s">
        <v>35</v>
      </c>
    </row>
    <row r="15" spans="1:15">
      <c r="B15" t="s">
        <v>36</v>
      </c>
    </row>
    <row r="16" spans="1:15">
      <c r="A16" t="s">
        <v>52</v>
      </c>
    </row>
    <row r="17" spans="1:13">
      <c r="A17" t="s">
        <v>55</v>
      </c>
      <c r="H17" t="s">
        <v>61</v>
      </c>
    </row>
    <row r="18" spans="1:13">
      <c r="A18" t="s">
        <v>144</v>
      </c>
    </row>
    <row r="19" spans="1:13">
      <c r="A19" t="s">
        <v>53</v>
      </c>
      <c r="J19" t="s">
        <v>54</v>
      </c>
      <c r="M19" t="s">
        <v>188</v>
      </c>
    </row>
    <row r="21" spans="1:13">
      <c r="A21" t="s">
        <v>161</v>
      </c>
    </row>
    <row r="22" spans="1:13">
      <c r="B22" t="s">
        <v>162</v>
      </c>
    </row>
    <row r="24" spans="1:13">
      <c r="A24" t="s">
        <v>171</v>
      </c>
    </row>
    <row r="25" spans="1:13" ht="15.75">
      <c r="B25" s="1" t="s">
        <v>172</v>
      </c>
    </row>
    <row r="26" spans="1:13">
      <c r="B26" s="34" t="s">
        <v>173</v>
      </c>
    </row>
    <row r="28" spans="1:13" ht="15.75">
      <c r="B28" s="1" t="s">
        <v>174</v>
      </c>
    </row>
    <row r="29" spans="1:13">
      <c r="B29" s="34" t="s">
        <v>175</v>
      </c>
    </row>
    <row r="30" spans="1:13" ht="15.75">
      <c r="B30" s="1" t="s">
        <v>176</v>
      </c>
    </row>
    <row r="32" spans="1:13" ht="15.75">
      <c r="B32" s="35" t="s">
        <v>178</v>
      </c>
    </row>
    <row r="33" spans="2:3" ht="15.75">
      <c r="B33" s="35"/>
      <c r="C33" t="s">
        <v>177</v>
      </c>
    </row>
    <row r="34" spans="2:3" ht="15.75">
      <c r="B34" s="35" t="s">
        <v>179</v>
      </c>
    </row>
    <row r="35" spans="2:3">
      <c r="C35" s="36" t="s">
        <v>180</v>
      </c>
    </row>
    <row r="36" spans="2:3">
      <c r="C36" s="36" t="s">
        <v>181</v>
      </c>
    </row>
    <row r="37" spans="2:3">
      <c r="C37" s="36" t="s">
        <v>182</v>
      </c>
    </row>
    <row r="38" spans="2:3">
      <c r="C38" t="s">
        <v>183</v>
      </c>
    </row>
  </sheetData>
  <hyperlinks>
    <hyperlink ref="B26" r:id="rId1" display="https://www.youtube.com/watch?v=9LwHeV0cJU8"/>
    <hyperlink ref="B29" r:id="rId2"/>
  </hyperlinks>
  <pageMargins left="0.7" right="0.7" top="0.75" bottom="0.75" header="0.3" footer="0.3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9"/>
  <sheetViews>
    <sheetView tabSelected="1" topLeftCell="A24" workbookViewId="0">
      <selection activeCell="N49" sqref="N49"/>
    </sheetView>
  </sheetViews>
  <sheetFormatPr defaultRowHeight="15"/>
  <cols>
    <col min="12" max="12" width="16.7109375" customWidth="1"/>
    <col min="17" max="17" width="6.7109375" customWidth="1"/>
    <col min="19" max="19" width="10.7109375" customWidth="1"/>
    <col min="21" max="21" width="10.7109375" customWidth="1"/>
    <col min="23" max="23" width="9.85546875" bestFit="1" customWidth="1"/>
    <col min="26" max="26" width="13.7109375" customWidth="1"/>
  </cols>
  <sheetData>
    <row r="1" spans="1:29" ht="18.75">
      <c r="A1" s="49" t="s">
        <v>211</v>
      </c>
      <c r="B1" s="49"/>
    </row>
    <row r="2" spans="1:29" ht="15.75">
      <c r="W2" s="4" t="s">
        <v>228</v>
      </c>
      <c r="X2" s="4"/>
      <c r="Y2" s="4"/>
      <c r="Z2" s="4"/>
    </row>
    <row r="3" spans="1:29" ht="15.75">
      <c r="C3" s="4" t="s">
        <v>217</v>
      </c>
      <c r="D3" s="4"/>
      <c r="G3" s="50" t="s">
        <v>73</v>
      </c>
      <c r="I3" s="50" t="s">
        <v>73</v>
      </c>
      <c r="L3" s="4" t="s">
        <v>224</v>
      </c>
      <c r="M3" s="4"/>
      <c r="S3" s="50" t="s">
        <v>73</v>
      </c>
      <c r="T3" s="50" t="s">
        <v>73</v>
      </c>
      <c r="W3" s="65" t="s">
        <v>229</v>
      </c>
      <c r="X3" s="65"/>
      <c r="Y3" s="65"/>
      <c r="Z3" s="65"/>
      <c r="AA3" s="66"/>
      <c r="AB3" s="39"/>
      <c r="AC3" s="20"/>
    </row>
    <row r="4" spans="1:29" ht="15.75">
      <c r="C4" s="4" t="s">
        <v>216</v>
      </c>
      <c r="G4" s="50" t="s">
        <v>212</v>
      </c>
      <c r="I4" s="50" t="s">
        <v>165</v>
      </c>
      <c r="L4" s="4" t="s">
        <v>225</v>
      </c>
      <c r="M4" s="4"/>
      <c r="N4" s="4"/>
      <c r="O4" s="4"/>
      <c r="P4" s="4"/>
      <c r="Q4" s="4"/>
      <c r="S4" s="50" t="s">
        <v>212</v>
      </c>
      <c r="T4" s="50" t="s">
        <v>212</v>
      </c>
      <c r="W4" t="s">
        <v>227</v>
      </c>
      <c r="Z4" s="6"/>
      <c r="AA4" s="6">
        <v>10</v>
      </c>
      <c r="AC4" s="20"/>
    </row>
    <row r="5" spans="1:29">
      <c r="B5" s="3"/>
      <c r="C5" t="s">
        <v>70</v>
      </c>
      <c r="E5" s="6">
        <v>40</v>
      </c>
      <c r="F5" t="s">
        <v>213</v>
      </c>
      <c r="G5" s="6">
        <v>3</v>
      </c>
      <c r="I5" s="6">
        <f>E5*G5</f>
        <v>120</v>
      </c>
      <c r="L5" t="s">
        <v>193</v>
      </c>
      <c r="Q5" s="6">
        <v>60</v>
      </c>
      <c r="R5" t="s">
        <v>218</v>
      </c>
      <c r="S5" s="6">
        <v>0.8</v>
      </c>
      <c r="T5" s="6">
        <f>Q5*S5</f>
        <v>48</v>
      </c>
      <c r="W5" t="s">
        <v>120</v>
      </c>
      <c r="Z5" s="6"/>
      <c r="AA5" s="6">
        <v>10</v>
      </c>
      <c r="AB5" s="20"/>
    </row>
    <row r="6" spans="1:29">
      <c r="C6" t="s">
        <v>74</v>
      </c>
      <c r="E6" s="6">
        <v>15</v>
      </c>
      <c r="F6" t="s">
        <v>214</v>
      </c>
      <c r="G6" s="6">
        <v>3</v>
      </c>
      <c r="I6" s="6">
        <f>E6*G6</f>
        <v>45</v>
      </c>
      <c r="L6" t="s">
        <v>94</v>
      </c>
      <c r="Q6" s="6">
        <v>3</v>
      </c>
      <c r="R6" t="s">
        <v>219</v>
      </c>
      <c r="S6" s="6">
        <v>10</v>
      </c>
      <c r="T6" s="6">
        <f>S6*Q6</f>
        <v>30</v>
      </c>
      <c r="W6" t="s">
        <v>121</v>
      </c>
      <c r="Z6" s="6"/>
      <c r="AA6" s="6">
        <v>5</v>
      </c>
      <c r="AB6" s="20"/>
    </row>
    <row r="7" spans="1:29">
      <c r="C7" t="s">
        <v>76</v>
      </c>
      <c r="E7" s="6">
        <v>20</v>
      </c>
      <c r="F7" t="s">
        <v>215</v>
      </c>
      <c r="G7" s="6">
        <v>2</v>
      </c>
      <c r="I7" s="6">
        <f>E7*G7</f>
        <v>40</v>
      </c>
      <c r="L7" t="s">
        <v>98</v>
      </c>
      <c r="Q7" s="6">
        <v>10</v>
      </c>
      <c r="R7" t="s">
        <v>220</v>
      </c>
      <c r="S7" s="6">
        <v>3</v>
      </c>
      <c r="T7" s="6">
        <f>Q7*S7</f>
        <v>30</v>
      </c>
      <c r="W7" t="s">
        <v>122</v>
      </c>
      <c r="Z7" s="6"/>
      <c r="AA7" s="6">
        <v>5</v>
      </c>
      <c r="AB7" s="20"/>
    </row>
    <row r="8" spans="1:29">
      <c r="C8" t="s">
        <v>78</v>
      </c>
      <c r="E8" s="6">
        <v>1</v>
      </c>
      <c r="F8" t="s">
        <v>215</v>
      </c>
      <c r="G8" s="6">
        <v>20</v>
      </c>
      <c r="I8" s="6">
        <f>E8*G8</f>
        <v>20</v>
      </c>
      <c r="L8" t="s">
        <v>222</v>
      </c>
      <c r="Q8" s="6">
        <v>5</v>
      </c>
      <c r="R8" t="s">
        <v>221</v>
      </c>
      <c r="S8" s="6">
        <v>8</v>
      </c>
      <c r="T8" s="6">
        <f>Q8*S8</f>
        <v>40</v>
      </c>
      <c r="W8" t="s">
        <v>123</v>
      </c>
      <c r="Z8" s="6"/>
      <c r="AA8" s="6">
        <f>SUM(AA4:AA7)</f>
        <v>30</v>
      </c>
      <c r="AB8" s="20"/>
    </row>
    <row r="9" spans="1:29">
      <c r="C9" t="s">
        <v>79</v>
      </c>
      <c r="E9" s="6">
        <v>1</v>
      </c>
      <c r="G9" s="6">
        <v>40</v>
      </c>
      <c r="I9" s="6">
        <f>G9</f>
        <v>40</v>
      </c>
      <c r="L9" t="s">
        <v>223</v>
      </c>
      <c r="Q9" s="6">
        <v>20</v>
      </c>
      <c r="R9" t="s">
        <v>213</v>
      </c>
      <c r="S9" s="6">
        <v>1</v>
      </c>
      <c r="T9" s="6">
        <f>Q9*S9</f>
        <v>20</v>
      </c>
      <c r="W9" t="s">
        <v>125</v>
      </c>
      <c r="Z9" s="6"/>
      <c r="AA9" s="6">
        <v>10</v>
      </c>
      <c r="AB9" s="20"/>
    </row>
    <row r="10" spans="1:29">
      <c r="C10" t="s">
        <v>81</v>
      </c>
      <c r="E10" s="6">
        <v>1</v>
      </c>
      <c r="G10" s="6">
        <v>50</v>
      </c>
      <c r="I10" s="6">
        <f>G10*E10</f>
        <v>50</v>
      </c>
      <c r="L10" s="3" t="s">
        <v>103</v>
      </c>
      <c r="M10" s="3"/>
      <c r="N10" s="3"/>
      <c r="O10" s="3"/>
      <c r="P10" s="3"/>
      <c r="S10" s="53" t="s">
        <v>73</v>
      </c>
      <c r="T10" s="54">
        <f>SUM(T5:T8)</f>
        <v>148</v>
      </c>
      <c r="W10" s="37" t="s">
        <v>127</v>
      </c>
      <c r="X10" s="37"/>
      <c r="Y10" s="37"/>
      <c r="Z10" s="38"/>
      <c r="AA10" s="12">
        <f>SUM(AA8:AA9)</f>
        <v>40</v>
      </c>
      <c r="AB10" s="20"/>
    </row>
    <row r="11" spans="1:29">
      <c r="C11" t="s">
        <v>82</v>
      </c>
      <c r="E11" s="6">
        <v>1</v>
      </c>
      <c r="G11" s="6">
        <v>10</v>
      </c>
      <c r="I11" s="6">
        <f>G11*E11</f>
        <v>10</v>
      </c>
      <c r="AA11" s="6"/>
      <c r="AB11" s="64"/>
    </row>
    <row r="12" spans="1:29">
      <c r="C12" t="s">
        <v>83</v>
      </c>
      <c r="G12" s="6">
        <v>2</v>
      </c>
      <c r="I12" s="6">
        <f>G12</f>
        <v>2</v>
      </c>
      <c r="W12" s="65" t="s">
        <v>231</v>
      </c>
      <c r="X12" s="65"/>
      <c r="Y12" s="65"/>
      <c r="Z12" s="65"/>
      <c r="AA12" s="66"/>
      <c r="AB12" s="6"/>
      <c r="AC12" s="20"/>
    </row>
    <row r="13" spans="1:29" ht="15.75">
      <c r="C13" t="s">
        <v>84</v>
      </c>
      <c r="G13" s="6">
        <v>4</v>
      </c>
      <c r="I13" s="6">
        <f>G13</f>
        <v>4</v>
      </c>
      <c r="L13" s="4" t="s">
        <v>190</v>
      </c>
      <c r="M13" s="4"/>
      <c r="N13" s="4"/>
      <c r="O13" s="4"/>
      <c r="T13" s="50" t="s">
        <v>73</v>
      </c>
      <c r="W13" t="s">
        <v>227</v>
      </c>
      <c r="Z13" s="6"/>
      <c r="AA13" s="6">
        <v>2</v>
      </c>
      <c r="AB13" s="39"/>
      <c r="AC13" s="20"/>
    </row>
    <row r="14" spans="1:29">
      <c r="C14" t="s">
        <v>87</v>
      </c>
      <c r="G14" s="6">
        <v>35</v>
      </c>
      <c r="I14" s="6">
        <f>G14</f>
        <v>35</v>
      </c>
      <c r="L14" t="s">
        <v>118</v>
      </c>
      <c r="T14" s="6">
        <v>50</v>
      </c>
      <c r="W14" t="s">
        <v>120</v>
      </c>
      <c r="Z14" s="6"/>
      <c r="AA14" s="6">
        <v>1</v>
      </c>
      <c r="AB14" s="6"/>
      <c r="AC14" s="20"/>
    </row>
    <row r="15" spans="1:29">
      <c r="C15" t="s">
        <v>85</v>
      </c>
      <c r="G15" s="6">
        <v>0</v>
      </c>
      <c r="I15" s="6">
        <f>G15</f>
        <v>0</v>
      </c>
      <c r="L15" t="s">
        <v>107</v>
      </c>
      <c r="T15" s="6">
        <v>10</v>
      </c>
      <c r="W15" t="s">
        <v>121</v>
      </c>
      <c r="Z15" s="6"/>
      <c r="AA15" s="6">
        <v>1</v>
      </c>
      <c r="AB15" s="20"/>
    </row>
    <row r="16" spans="1:29">
      <c r="C16" t="s">
        <v>86</v>
      </c>
      <c r="G16" s="6">
        <v>0</v>
      </c>
      <c r="I16" s="6">
        <f>G16</f>
        <v>0</v>
      </c>
      <c r="L16" t="s">
        <v>108</v>
      </c>
      <c r="T16" s="6">
        <v>20</v>
      </c>
      <c r="W16" t="s">
        <v>122</v>
      </c>
      <c r="Z16" s="6"/>
      <c r="AA16" s="6">
        <v>1</v>
      </c>
      <c r="AB16" s="20"/>
    </row>
    <row r="17" spans="3:29">
      <c r="C17" s="3" t="s">
        <v>88</v>
      </c>
      <c r="D17" s="3"/>
      <c r="H17" s="51" t="s">
        <v>73</v>
      </c>
      <c r="I17" s="52">
        <f>SUM(I5:I16)</f>
        <v>366</v>
      </c>
      <c r="L17" t="s">
        <v>109</v>
      </c>
      <c r="T17" s="6">
        <v>0</v>
      </c>
      <c r="W17" t="s">
        <v>123</v>
      </c>
      <c r="Z17" s="6"/>
      <c r="AA17" s="6">
        <f>SUM(AA13:AA16)</f>
        <v>5</v>
      </c>
      <c r="AB17" s="20"/>
    </row>
    <row r="18" spans="3:29">
      <c r="L18" s="3" t="s">
        <v>110</v>
      </c>
      <c r="M18" s="3"/>
      <c r="S18" s="56" t="s">
        <v>73</v>
      </c>
      <c r="T18" s="57">
        <f>SUM(T14:T17)</f>
        <v>80</v>
      </c>
      <c r="W18" t="s">
        <v>184</v>
      </c>
      <c r="Z18" s="6">
        <v>30</v>
      </c>
      <c r="AA18" s="20" t="s">
        <v>185</v>
      </c>
      <c r="AB18" s="20"/>
    </row>
    <row r="19" spans="3:29">
      <c r="W19" t="s">
        <v>186</v>
      </c>
      <c r="Z19" s="6">
        <v>1.5</v>
      </c>
      <c r="AA19">
        <f>Z19*8*Z18/100</f>
        <v>3.6</v>
      </c>
      <c r="AB19" s="20"/>
    </row>
    <row r="20" spans="3:29">
      <c r="W20" s="67" t="s">
        <v>230</v>
      </c>
      <c r="X20" s="67"/>
      <c r="Y20" s="67"/>
      <c r="Z20" s="68"/>
      <c r="AA20" s="14">
        <f>AA17-AA19</f>
        <v>1.4</v>
      </c>
    </row>
    <row r="21" spans="3:29" ht="15.75">
      <c r="L21" s="4" t="s">
        <v>226</v>
      </c>
      <c r="M21" s="4"/>
      <c r="N21" s="4"/>
      <c r="O21" s="4"/>
      <c r="P21" s="4"/>
      <c r="Q21" s="4"/>
      <c r="R21" s="4"/>
      <c r="S21" s="58">
        <v>138</v>
      </c>
      <c r="T21" s="59" t="s">
        <v>73</v>
      </c>
      <c r="AB21" s="20"/>
    </row>
    <row r="22" spans="3:29">
      <c r="L22" t="s">
        <v>194</v>
      </c>
      <c r="S22" s="60">
        <v>138</v>
      </c>
      <c r="T22" s="61" t="s">
        <v>73</v>
      </c>
      <c r="W22" s="65" t="s">
        <v>232</v>
      </c>
      <c r="X22" s="65"/>
      <c r="Y22" s="65"/>
      <c r="Z22" s="65"/>
      <c r="AA22" s="66"/>
      <c r="AB22" s="20"/>
    </row>
    <row r="23" spans="3:29" ht="15.75">
      <c r="L23" s="4" t="s">
        <v>119</v>
      </c>
      <c r="M23" s="4"/>
      <c r="S23" s="62">
        <v>0</v>
      </c>
      <c r="T23" s="63" t="s">
        <v>73</v>
      </c>
      <c r="W23" t="s">
        <v>227</v>
      </c>
      <c r="Z23" s="6"/>
      <c r="AA23" s="6">
        <v>3</v>
      </c>
      <c r="AC23" s="20"/>
    </row>
    <row r="24" spans="3:29">
      <c r="T24" s="6"/>
      <c r="W24" t="s">
        <v>120</v>
      </c>
      <c r="Z24" s="6"/>
      <c r="AA24" s="6">
        <v>3</v>
      </c>
      <c r="AC24" s="20"/>
    </row>
    <row r="25" spans="3:29">
      <c r="W25" t="s">
        <v>121</v>
      </c>
      <c r="Z25" s="6"/>
      <c r="AA25" s="6">
        <v>3</v>
      </c>
      <c r="AC25" s="20"/>
    </row>
    <row r="26" spans="3:29">
      <c r="W26" t="s">
        <v>122</v>
      </c>
      <c r="Z26" s="6"/>
      <c r="AA26" s="6">
        <v>2</v>
      </c>
      <c r="AB26" s="39"/>
      <c r="AC26" s="20"/>
    </row>
    <row r="27" spans="3:29">
      <c r="W27" s="69" t="s">
        <v>123</v>
      </c>
      <c r="X27" s="69"/>
      <c r="Y27" s="69"/>
      <c r="Z27" s="70"/>
      <c r="AA27" s="55">
        <f>SUM(AA23:AA26)</f>
        <v>11</v>
      </c>
      <c r="AC27" s="20"/>
    </row>
    <row r="28" spans="3:29">
      <c r="AB28" s="20"/>
    </row>
    <row r="29" spans="3:29">
      <c r="C29" s="3" t="s">
        <v>233</v>
      </c>
      <c r="D29" s="3"/>
      <c r="E29" s="3"/>
      <c r="F29" s="3"/>
      <c r="G29" s="3"/>
      <c r="H29" s="3"/>
      <c r="I29" s="3"/>
      <c r="J29" s="3"/>
      <c r="K29" s="3"/>
      <c r="L29" s="3"/>
      <c r="AB29" s="20"/>
    </row>
    <row r="30" spans="3:29">
      <c r="C30" s="6">
        <v>0.59999999999999987</v>
      </c>
      <c r="D30" t="s">
        <v>243</v>
      </c>
      <c r="G30" s="11">
        <v>500</v>
      </c>
      <c r="H30" t="s">
        <v>135</v>
      </c>
      <c r="J30" t="s">
        <v>124</v>
      </c>
      <c r="K30" s="6">
        <v>299.99999999999994</v>
      </c>
      <c r="L30" t="s">
        <v>240</v>
      </c>
      <c r="T30" s="6"/>
      <c r="AB30" s="20"/>
    </row>
    <row r="31" spans="3:29">
      <c r="C31" s="6"/>
      <c r="D31" t="s">
        <v>197</v>
      </c>
      <c r="J31" t="s">
        <v>124</v>
      </c>
      <c r="K31" s="6">
        <v>40</v>
      </c>
      <c r="AB31" s="20"/>
    </row>
    <row r="32" spans="3:29">
      <c r="C32" s="6"/>
      <c r="D32" t="s">
        <v>199</v>
      </c>
      <c r="J32" t="s">
        <v>124</v>
      </c>
      <c r="K32" s="6">
        <v>259.99999999999994</v>
      </c>
      <c r="AB32" s="20"/>
    </row>
    <row r="33" spans="3:29">
      <c r="C33" s="6"/>
      <c r="D33" t="s">
        <v>200</v>
      </c>
      <c r="J33" s="75" t="s">
        <v>201</v>
      </c>
      <c r="K33" s="72">
        <v>139.78494623655911</v>
      </c>
      <c r="AA33" s="6"/>
      <c r="AC33" s="20"/>
    </row>
    <row r="34" spans="3:29">
      <c r="C34" s="6">
        <v>240</v>
      </c>
      <c r="D34" t="s">
        <v>138</v>
      </c>
    </row>
    <row r="35" spans="3:29">
      <c r="C35" s="6"/>
      <c r="D35" t="s">
        <v>137</v>
      </c>
    </row>
    <row r="36" spans="3:29">
      <c r="C36" s="6"/>
      <c r="D36" s="23" t="s">
        <v>241</v>
      </c>
    </row>
    <row r="38" spans="3:29">
      <c r="C38" s="3" t="s">
        <v>234</v>
      </c>
      <c r="D38" s="3"/>
      <c r="E38" s="3"/>
      <c r="F38" s="3"/>
      <c r="G38" s="3"/>
    </row>
    <row r="39" spans="3:29">
      <c r="C39" s="6">
        <v>1</v>
      </c>
      <c r="D39" t="s">
        <v>73</v>
      </c>
      <c r="E39" t="s">
        <v>236</v>
      </c>
    </row>
    <row r="40" spans="3:29">
      <c r="C40" s="6">
        <v>1</v>
      </c>
      <c r="D40" t="s">
        <v>73</v>
      </c>
      <c r="E40" t="s">
        <v>140</v>
      </c>
    </row>
    <row r="41" spans="3:29">
      <c r="C41" s="6">
        <v>36</v>
      </c>
      <c r="D41" t="s">
        <v>73</v>
      </c>
      <c r="E41" t="s">
        <v>242</v>
      </c>
    </row>
    <row r="42" spans="3:29">
      <c r="C42" s="6"/>
      <c r="E42" s="24">
        <v>6000</v>
      </c>
      <c r="F42" t="s">
        <v>146</v>
      </c>
      <c r="H42" s="7">
        <v>6000</v>
      </c>
      <c r="I42" t="s">
        <v>237</v>
      </c>
      <c r="K42" s="11">
        <v>36</v>
      </c>
      <c r="L42" t="s">
        <v>131</v>
      </c>
    </row>
    <row r="43" spans="3:29">
      <c r="C43" s="6">
        <v>1</v>
      </c>
      <c r="D43" t="s">
        <v>73</v>
      </c>
      <c r="E43" t="s">
        <v>148</v>
      </c>
      <c r="K43" s="6"/>
    </row>
    <row r="44" spans="3:29">
      <c r="C44" s="6">
        <v>1</v>
      </c>
      <c r="D44" t="s">
        <v>73</v>
      </c>
      <c r="E44" t="s">
        <v>239</v>
      </c>
      <c r="K44" s="6"/>
    </row>
    <row r="45" spans="3:29">
      <c r="C45" s="6">
        <v>10</v>
      </c>
      <c r="D45" t="s">
        <v>73</v>
      </c>
      <c r="E45" t="s">
        <v>238</v>
      </c>
      <c r="K45" s="6"/>
    </row>
    <row r="46" spans="3:29">
      <c r="C46" s="6">
        <v>0</v>
      </c>
      <c r="D46" t="s">
        <v>73</v>
      </c>
      <c r="E46" t="s">
        <v>109</v>
      </c>
      <c r="K46" s="6"/>
    </row>
    <row r="47" spans="3:29">
      <c r="C47" s="6">
        <v>50</v>
      </c>
      <c r="D47" t="s">
        <v>73</v>
      </c>
      <c r="E47" t="s">
        <v>155</v>
      </c>
      <c r="K47" s="6"/>
    </row>
    <row r="48" spans="3:29">
      <c r="C48" s="6"/>
      <c r="E48" t="s">
        <v>203</v>
      </c>
      <c r="K48" s="73">
        <v>13.661202185792352</v>
      </c>
      <c r="L48" s="76" t="s">
        <v>201</v>
      </c>
    </row>
    <row r="49" spans="3:12">
      <c r="C49" s="6"/>
      <c r="E49" t="s">
        <v>204</v>
      </c>
      <c r="K49" s="74">
        <v>36.231884057971016</v>
      </c>
      <c r="L49" s="77" t="s">
        <v>201</v>
      </c>
    </row>
    <row r="50" spans="3:12">
      <c r="C50" s="6"/>
      <c r="D50" t="s">
        <v>157</v>
      </c>
      <c r="F50" s="24">
        <v>32000</v>
      </c>
      <c r="K50" s="71"/>
    </row>
    <row r="51" spans="3:12">
      <c r="C51" s="11">
        <v>1562.5</v>
      </c>
      <c r="D51" t="s">
        <v>158</v>
      </c>
      <c r="K51" s="71"/>
    </row>
    <row r="52" spans="3:12">
      <c r="K52" s="71"/>
    </row>
    <row r="53" spans="3:12">
      <c r="C53" s="3" t="s">
        <v>235</v>
      </c>
      <c r="D53" s="3"/>
      <c r="E53" s="3"/>
      <c r="F53" s="3"/>
      <c r="G53" s="3"/>
      <c r="H53" s="3"/>
      <c r="K53" s="71"/>
    </row>
    <row r="54" spans="3:12">
      <c r="C54" t="s">
        <v>205</v>
      </c>
      <c r="F54" s="7">
        <v>259.99999999999994</v>
      </c>
      <c r="H54" t="s">
        <v>131</v>
      </c>
      <c r="K54" s="71"/>
    </row>
    <row r="55" spans="3:12">
      <c r="C55" t="s">
        <v>164</v>
      </c>
      <c r="F55" s="7">
        <v>50</v>
      </c>
      <c r="H55" t="s">
        <v>131</v>
      </c>
      <c r="K55" s="71"/>
    </row>
    <row r="56" spans="3:12">
      <c r="C56" t="s">
        <v>165</v>
      </c>
      <c r="F56" s="7">
        <v>309.99999999999994</v>
      </c>
      <c r="H56" t="s">
        <v>131</v>
      </c>
      <c r="K56" s="71"/>
    </row>
    <row r="57" spans="3:12">
      <c r="K57" s="71"/>
    </row>
    <row r="58" spans="3:12">
      <c r="C58" t="s">
        <v>203</v>
      </c>
      <c r="I58" s="73">
        <v>84.699453551912555</v>
      </c>
      <c r="J58" s="78" t="s">
        <v>201</v>
      </c>
    </row>
    <row r="59" spans="3:12">
      <c r="C59" t="s">
        <v>204</v>
      </c>
      <c r="I59" s="74">
        <v>224.63768115942025</v>
      </c>
      <c r="J59" s="79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CAPEX Econ Anal</vt:lpstr>
      <vt:lpstr>OPEX Econ Anal</vt:lpstr>
      <vt:lpstr>Notes</vt:lpstr>
      <vt:lpstr>References</vt:lpstr>
      <vt:lpstr>EXPORT TO PPT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dcterms:created xsi:type="dcterms:W3CDTF">2019-02-04T00:21:35Z</dcterms:created>
  <dcterms:modified xsi:type="dcterms:W3CDTF">2019-02-20T16:15:13Z</dcterms:modified>
</cp:coreProperties>
</file>